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9720" activeTab="1"/>
  </bookViews>
  <sheets>
    <sheet name="BDK" sheetId="1" r:id="rId1"/>
    <sheet name="Profile" sheetId="2" r:id="rId2"/>
  </sheets>
  <definedNames>
    <definedName name="_xlnm.Print_Area" localSheetId="0">'BDK'!$P$1:$W$70</definedName>
    <definedName name="_xlnm.Print_Titles" localSheetId="1">'Profile'!$1:$5</definedName>
    <definedName name="Profildaten">'Profile'!$B$4:$AR$137</definedName>
  </definedNames>
  <calcPr fullCalcOnLoad="1"/>
</workbook>
</file>

<file path=xl/comments1.xml><?xml version="1.0" encoding="utf-8"?>
<comments xmlns="http://schemas.openxmlformats.org/spreadsheetml/2006/main">
  <authors>
    <author>FMueller</author>
  </authors>
  <commentList>
    <comment ref="G7" authorId="0">
      <text>
        <r>
          <rPr>
            <sz val="8"/>
            <rFont val="Tahoma"/>
            <family val="2"/>
          </rPr>
          <t xml:space="preserve">für </t>
        </r>
        <r>
          <rPr>
            <b/>
            <sz val="8"/>
            <rFont val="Tahoma"/>
            <family val="2"/>
          </rPr>
          <t>Biegeknick</t>
        </r>
        <r>
          <rPr>
            <sz val="8"/>
            <rFont val="Tahoma"/>
            <family val="2"/>
          </rPr>
          <t>-Nachweis, Methode 2 (FriLo, Modul STX)</t>
        </r>
      </text>
    </comment>
    <comment ref="G13" authorId="0">
      <text>
        <r>
          <rPr>
            <sz val="8"/>
            <rFont val="Tahoma"/>
            <family val="2"/>
          </rPr>
          <t>wird auch als "Abstand der Gabellager" für MKi,y,d verwendet</t>
        </r>
      </text>
    </comment>
    <comment ref="A21" authorId="0">
      <text>
        <r>
          <t/>
        </r>
      </text>
    </comment>
    <comment ref="E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5" authorId="0">
      <text>
        <r>
          <t/>
        </r>
      </text>
    </comment>
    <comment ref="A27" authorId="0">
      <text>
        <r>
          <t/>
        </r>
      </text>
    </comment>
    <comment ref="A41" authorId="0">
      <text>
        <r>
          <t/>
        </r>
      </text>
    </comment>
    <comment ref="B60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A60" authorId="0">
      <text>
        <r>
          <t/>
        </r>
      </text>
    </comment>
    <comment ref="B27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3</t>
        </r>
      </text>
    </comment>
    <comment ref="E13" authorId="0">
      <text>
        <r>
          <t/>
        </r>
      </text>
    </comment>
    <comment ref="B41" authorId="0">
      <text>
        <r>
          <rPr>
            <sz val="8"/>
            <rFont val="Tahoma"/>
            <family val="2"/>
          </rPr>
          <t xml:space="preserve">nach Tab. 11, Spalte </t>
        </r>
        <r>
          <rPr>
            <b/>
            <sz val="8"/>
            <rFont val="Tahoma"/>
            <family val="2"/>
          </rPr>
          <t>2</t>
        </r>
      </text>
    </comment>
    <comment ref="A56" authorId="0">
      <text>
        <r>
          <rPr>
            <sz val="8"/>
            <rFont val="Tahoma"/>
            <family val="2"/>
          </rPr>
          <t>Abstand des Angriffspunktes der Querbelastung vom Schwerpunkt, auf der Biege</t>
        </r>
        <r>
          <rPr>
            <b/>
            <sz val="8"/>
            <rFont val="Tahoma"/>
            <family val="2"/>
          </rPr>
          <t>zug</t>
        </r>
        <r>
          <rPr>
            <sz val="8"/>
            <rFont val="Tahoma"/>
            <family val="2"/>
          </rPr>
          <t xml:space="preserve">seite </t>
        </r>
        <r>
          <rPr>
            <b/>
            <sz val="8"/>
            <rFont val="Tahoma"/>
            <family val="2"/>
          </rPr>
          <t>positiv</t>
        </r>
      </text>
    </comment>
    <comment ref="J7" authorId="0">
      <text>
        <r>
          <rPr>
            <sz val="8"/>
            <rFont val="Tahoma"/>
            <family val="2"/>
          </rPr>
          <t xml:space="preserve">FriLo-Modul 'ST1':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321 (Methode 1)
FriLo-Modul 'STX': </t>
        </r>
        <r>
          <rPr>
            <b/>
            <sz val="8"/>
            <rFont val="Tahoma"/>
            <family val="2"/>
          </rPr>
          <t>nur</t>
        </r>
        <r>
          <rPr>
            <sz val="8"/>
            <rFont val="Tahoma"/>
            <family val="2"/>
          </rPr>
          <t xml:space="preserve"> Element 322 (Methode 2)</t>
        </r>
      </text>
    </comment>
  </commentList>
</comments>
</file>

<file path=xl/comments2.xml><?xml version="1.0" encoding="utf-8"?>
<comments xmlns="http://schemas.openxmlformats.org/spreadsheetml/2006/main">
  <authors>
    <author>GK</author>
    <author>FMueller</author>
  </authors>
  <commentList>
    <comment ref="B37" authorId="0">
      <text>
        <r>
          <rPr>
            <b/>
            <sz val="8"/>
            <rFont val="Tahoma"/>
            <family val="2"/>
          </rPr>
          <t>nicht genormt</t>
        </r>
      </text>
    </comment>
    <comment ref="B24" authorId="0">
      <text>
        <r>
          <rPr>
            <b/>
            <sz val="8"/>
            <rFont val="Tahoma"/>
            <family val="2"/>
          </rPr>
          <t>nicht genormt</t>
        </r>
      </text>
    </comment>
    <comment ref="B90" authorId="0">
      <text>
        <r>
          <rPr>
            <b/>
            <sz val="8"/>
            <rFont val="Tahoma"/>
            <family val="2"/>
          </rPr>
          <t>= IPB</t>
        </r>
      </text>
    </comment>
    <comment ref="B66" authorId="0">
      <text>
        <r>
          <rPr>
            <b/>
            <sz val="8"/>
            <rFont val="Tahoma"/>
            <family val="2"/>
          </rPr>
          <t>= IPBI</t>
        </r>
      </text>
    </comment>
    <comment ref="AG4" authorId="1">
      <text>
        <r>
          <rPr>
            <sz val="8"/>
            <rFont val="Tahoma"/>
            <family val="2"/>
          </rPr>
          <t>SBT17, 8.22 mit 1,14 - siehe Formel</t>
        </r>
      </text>
    </comment>
    <comment ref="AI4" authorId="1">
      <text>
        <r>
          <rPr>
            <sz val="8"/>
            <rFont val="Tahoma"/>
            <family val="2"/>
          </rPr>
          <t>vollplastisches Moment</t>
        </r>
      </text>
    </comment>
    <comment ref="AJ4" authorId="1">
      <text>
        <r>
          <rPr>
            <sz val="8"/>
            <rFont val="Tahoma"/>
            <family val="2"/>
          </rPr>
          <t>reduziertes Moment (1,25 * sigmaR,d)</t>
        </r>
      </text>
    </comment>
    <comment ref="N4" authorId="1">
      <text>
        <r>
          <rPr>
            <sz val="8"/>
            <rFont val="Tahoma"/>
            <family val="2"/>
          </rPr>
          <t>Unterstrich wegen Unterscheidung zur Großschreibung von Iy / iy</t>
        </r>
      </text>
    </comment>
    <comment ref="I4" authorId="1">
      <text>
        <r>
          <rPr>
            <sz val="8"/>
            <rFont val="Tahoma"/>
            <family val="2"/>
          </rPr>
          <t>h1 unterschiedlich gemessen, vgl. SBT17, 8.168 f.</t>
        </r>
      </text>
    </comment>
    <comment ref="T4" authorId="1">
      <text>
        <r>
          <rPr>
            <sz val="8"/>
            <rFont val="Tahoma"/>
            <family val="2"/>
          </rPr>
          <t>U =
2b+4t+2h1 -
4r/2+2rPI +
2(b-s-2r/2)</t>
        </r>
      </text>
    </comment>
  </commentList>
</comments>
</file>

<file path=xl/sharedStrings.xml><?xml version="1.0" encoding="utf-8"?>
<sst xmlns="http://schemas.openxmlformats.org/spreadsheetml/2006/main" count="441" uniqueCount="283">
  <si>
    <t>Profildatenbank</t>
  </si>
  <si>
    <t>b</t>
  </si>
  <si>
    <t>h</t>
  </si>
  <si>
    <t>a</t>
  </si>
  <si>
    <r>
      <t>I</t>
    </r>
    <r>
      <rPr>
        <vertAlign val="subscript"/>
        <sz val="10"/>
        <rFont val="Symbol"/>
        <family val="1"/>
      </rPr>
      <t>w</t>
    </r>
  </si>
  <si>
    <r>
      <t>[cm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</si>
  <si>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</si>
  <si>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>T</t>
    </r>
  </si>
  <si>
    <t>k</t>
  </si>
  <si>
    <t>l</t>
  </si>
  <si>
    <t>g</t>
  </si>
  <si>
    <t>[mm]</t>
  </si>
  <si>
    <t>s</t>
  </si>
  <si>
    <t>t</t>
  </si>
  <si>
    <t>r</t>
  </si>
  <si>
    <r>
      <t>h</t>
    </r>
    <r>
      <rPr>
        <vertAlign val="subscript"/>
        <sz val="10"/>
        <rFont val="Arial"/>
        <family val="2"/>
      </rPr>
      <t>1</t>
    </r>
  </si>
  <si>
    <t>A</t>
  </si>
  <si>
    <t>[cm²]</t>
  </si>
  <si>
    <r>
      <t>I</t>
    </r>
    <r>
      <rPr>
        <vertAlign val="subscript"/>
        <sz val="10"/>
        <rFont val="Arial"/>
        <family val="2"/>
      </rPr>
      <t>y</t>
    </r>
  </si>
  <si>
    <r>
      <t>W</t>
    </r>
    <r>
      <rPr>
        <vertAlign val="subscript"/>
        <sz val="10"/>
        <rFont val="Arial"/>
        <family val="2"/>
      </rPr>
      <t>y</t>
    </r>
  </si>
  <si>
    <t>[cm³]</t>
  </si>
  <si>
    <r>
      <t>i</t>
    </r>
    <r>
      <rPr>
        <vertAlign val="subscript"/>
        <sz val="10"/>
        <rFont val="Arial"/>
        <family val="2"/>
      </rPr>
      <t>y</t>
    </r>
  </si>
  <si>
    <t>[cm]</t>
  </si>
  <si>
    <r>
      <t>I</t>
    </r>
    <r>
      <rPr>
        <vertAlign val="subscript"/>
        <sz val="10"/>
        <rFont val="Arial"/>
        <family val="2"/>
      </rPr>
      <t>z</t>
    </r>
  </si>
  <si>
    <r>
      <t>W</t>
    </r>
    <r>
      <rPr>
        <vertAlign val="subscript"/>
        <sz val="10"/>
        <rFont val="Arial"/>
        <family val="2"/>
      </rPr>
      <t>z</t>
    </r>
  </si>
  <si>
    <r>
      <t>i</t>
    </r>
    <r>
      <rPr>
        <vertAlign val="subscript"/>
        <sz val="10"/>
        <rFont val="Arial"/>
        <family val="2"/>
      </rPr>
      <t>z</t>
    </r>
  </si>
  <si>
    <r>
      <t>S</t>
    </r>
    <r>
      <rPr>
        <vertAlign val="subscript"/>
        <sz val="10"/>
        <rFont val="Arial"/>
        <family val="2"/>
      </rPr>
      <t>y</t>
    </r>
  </si>
  <si>
    <t>[kN/m]</t>
  </si>
  <si>
    <t>vorh(b/t)Steg</t>
  </si>
  <si>
    <t>IPE180</t>
  </si>
  <si>
    <t>IPE200</t>
  </si>
  <si>
    <t>IPE220</t>
  </si>
  <si>
    <t>IPE240</t>
  </si>
  <si>
    <t>IPE270</t>
  </si>
  <si>
    <t>IPE300</t>
  </si>
  <si>
    <t>IPE330</t>
  </si>
  <si>
    <t>IPE80</t>
  </si>
  <si>
    <t>IPE100</t>
  </si>
  <si>
    <t>IPE120</t>
  </si>
  <si>
    <t>IPE140</t>
  </si>
  <si>
    <t>IPE160</t>
  </si>
  <si>
    <t>IPE360</t>
  </si>
  <si>
    <t>IPE400</t>
  </si>
  <si>
    <t>IPE450</t>
  </si>
  <si>
    <t>IPE500</t>
  </si>
  <si>
    <t>IPE550</t>
  </si>
  <si>
    <t>IPE600</t>
  </si>
  <si>
    <t>vorh(b/t)Flansch</t>
  </si>
  <si>
    <r>
      <t>A</t>
    </r>
    <r>
      <rPr>
        <vertAlign val="subscript"/>
        <sz val="10"/>
        <rFont val="Arial"/>
        <family val="2"/>
      </rPr>
      <t>Steg</t>
    </r>
  </si>
  <si>
    <r>
      <t>w</t>
    </r>
    <r>
      <rPr>
        <vertAlign val="subscript"/>
        <sz val="10"/>
        <rFont val="Arial"/>
        <family val="2"/>
      </rPr>
      <t>M</t>
    </r>
  </si>
  <si>
    <r>
      <t>[cm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</si>
  <si>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E-Modul</t>
  </si>
  <si>
    <t>Schubmodul G</t>
  </si>
  <si>
    <t>N/mm²</t>
  </si>
  <si>
    <t>HEA100</t>
  </si>
  <si>
    <t>HEA120</t>
  </si>
  <si>
    <t>HEA140</t>
  </si>
  <si>
    <t>HEA160</t>
  </si>
  <si>
    <t>HEA180</t>
  </si>
  <si>
    <t>HEA200</t>
  </si>
  <si>
    <t>HEA220</t>
  </si>
  <si>
    <t>HEA240</t>
  </si>
  <si>
    <t>HEA260</t>
  </si>
  <si>
    <t>HEA280</t>
  </si>
  <si>
    <t>HEA300</t>
  </si>
  <si>
    <t>HEA320</t>
  </si>
  <si>
    <t>HEA340</t>
  </si>
  <si>
    <t>HEA360</t>
  </si>
  <si>
    <t>HEA400</t>
  </si>
  <si>
    <t>HEA450</t>
  </si>
  <si>
    <t>HEA500</t>
  </si>
  <si>
    <t>HEA550</t>
  </si>
  <si>
    <t>HEA600</t>
  </si>
  <si>
    <t>HEA650</t>
  </si>
  <si>
    <t>HEA700</t>
  </si>
  <si>
    <t>HEA800</t>
  </si>
  <si>
    <t>HEA900</t>
  </si>
  <si>
    <t>HEA1000</t>
  </si>
  <si>
    <t>HEB1000</t>
  </si>
  <si>
    <t>HEB100</t>
  </si>
  <si>
    <t>HEB120</t>
  </si>
  <si>
    <t>HEB140</t>
  </si>
  <si>
    <t>HEB160</t>
  </si>
  <si>
    <t>HEB180</t>
  </si>
  <si>
    <t>HEB200</t>
  </si>
  <si>
    <t>HEB220</t>
  </si>
  <si>
    <t>HEB240</t>
  </si>
  <si>
    <t>HEB260</t>
  </si>
  <si>
    <t>HEB280</t>
  </si>
  <si>
    <t>HEB300</t>
  </si>
  <si>
    <t>HEB320</t>
  </si>
  <si>
    <t>HEB340</t>
  </si>
  <si>
    <t>HEB360</t>
  </si>
  <si>
    <t>HEB400</t>
  </si>
  <si>
    <t>HEB450</t>
  </si>
  <si>
    <t>HEB500</t>
  </si>
  <si>
    <t>HEB550</t>
  </si>
  <si>
    <t>HEB600</t>
  </si>
  <si>
    <t>HEB650</t>
  </si>
  <si>
    <t>HEB700</t>
  </si>
  <si>
    <t>HEB800</t>
  </si>
  <si>
    <t>HEB900</t>
  </si>
  <si>
    <t>Eigengewicht</t>
  </si>
  <si>
    <t>kN/m³</t>
  </si>
  <si>
    <r>
      <t>S</t>
    </r>
    <r>
      <rPr>
        <vertAlign val="subscript"/>
        <sz val="10"/>
        <rFont val="Arial"/>
        <family val="2"/>
      </rPr>
      <t>z</t>
    </r>
  </si>
  <si>
    <t>[-]</t>
  </si>
  <si>
    <t>Nenn-höhe</t>
  </si>
  <si>
    <t>Profil</t>
  </si>
  <si>
    <t>Profilmaße</t>
  </si>
  <si>
    <t>Sonstige Werte</t>
  </si>
  <si>
    <t>Statische Werte</t>
  </si>
  <si>
    <t>IPEo220</t>
  </si>
  <si>
    <t>IPEo240</t>
  </si>
  <si>
    <t>IPEo270</t>
  </si>
  <si>
    <t>IPEo300</t>
  </si>
  <si>
    <t>IPEo330</t>
  </si>
  <si>
    <t>IPEo360</t>
  </si>
  <si>
    <t>IPEo400</t>
  </si>
  <si>
    <t>IPEo450</t>
  </si>
  <si>
    <t>IPEo500</t>
  </si>
  <si>
    <t>IPEo550</t>
  </si>
  <si>
    <t>IPEo600</t>
  </si>
  <si>
    <t>IPEo180</t>
  </si>
  <si>
    <t>IPEo200</t>
  </si>
  <si>
    <t>IPEv450</t>
  </si>
  <si>
    <t>IPEv500</t>
  </si>
  <si>
    <t>IPEv550</t>
  </si>
  <si>
    <t>IPEv600</t>
  </si>
  <si>
    <t>IPEv400</t>
  </si>
  <si>
    <t>[kN]</t>
  </si>
  <si>
    <r>
      <t>N</t>
    </r>
    <r>
      <rPr>
        <vertAlign val="subscript"/>
        <sz val="10"/>
        <rFont val="Arial"/>
        <family val="2"/>
      </rPr>
      <t>pl,d,S235</t>
    </r>
  </si>
  <si>
    <r>
      <t>N</t>
    </r>
    <r>
      <rPr>
        <vertAlign val="subscript"/>
        <sz val="10"/>
        <rFont val="Arial"/>
        <family val="2"/>
      </rPr>
      <t>pl,d,S355</t>
    </r>
  </si>
  <si>
    <r>
      <t>M</t>
    </r>
    <r>
      <rPr>
        <vertAlign val="subscript"/>
        <sz val="10"/>
        <rFont val="Arial"/>
        <family val="2"/>
      </rPr>
      <t>pl,y,d,S235</t>
    </r>
  </si>
  <si>
    <r>
      <t>M</t>
    </r>
    <r>
      <rPr>
        <vertAlign val="subscript"/>
        <sz val="10"/>
        <rFont val="Arial"/>
        <family val="2"/>
      </rPr>
      <t>pl,y,d,S355</t>
    </r>
  </si>
  <si>
    <t>[kNm]</t>
  </si>
  <si>
    <r>
      <t>M</t>
    </r>
    <r>
      <rPr>
        <vertAlign val="subscript"/>
        <sz val="10"/>
        <rFont val="Arial"/>
        <family val="2"/>
      </rPr>
      <t>pl,z,d,S235v</t>
    </r>
  </si>
  <si>
    <r>
      <t>M</t>
    </r>
    <r>
      <rPr>
        <vertAlign val="subscript"/>
        <sz val="10"/>
        <rFont val="Arial"/>
        <family val="2"/>
      </rPr>
      <t>pl,z,d,S235r</t>
    </r>
  </si>
  <si>
    <r>
      <t>M</t>
    </r>
    <r>
      <rPr>
        <vertAlign val="subscript"/>
        <sz val="10"/>
        <rFont val="Arial"/>
        <family val="2"/>
      </rPr>
      <t>pl,z,d,S355v</t>
    </r>
  </si>
  <si>
    <r>
      <t>M</t>
    </r>
    <r>
      <rPr>
        <vertAlign val="subscript"/>
        <sz val="10"/>
        <rFont val="Arial"/>
        <family val="2"/>
      </rPr>
      <t>pl,z,d,S355r</t>
    </r>
  </si>
  <si>
    <t>Plastische Schnittgrößen</t>
  </si>
  <si>
    <r>
      <t>V</t>
    </r>
    <r>
      <rPr>
        <vertAlign val="subscript"/>
        <sz val="10"/>
        <rFont val="Arial"/>
        <family val="2"/>
      </rPr>
      <t>pl,z,d,S235</t>
    </r>
  </si>
  <si>
    <r>
      <t>V</t>
    </r>
    <r>
      <rPr>
        <vertAlign val="subscript"/>
        <sz val="10"/>
        <rFont val="Arial"/>
        <family val="2"/>
      </rPr>
      <t>pl,z,d,S355</t>
    </r>
  </si>
  <si>
    <r>
      <t>V</t>
    </r>
    <r>
      <rPr>
        <vertAlign val="subscript"/>
        <sz val="10"/>
        <rFont val="Arial"/>
        <family val="2"/>
      </rPr>
      <t>pl,y,d,S235</t>
    </r>
  </si>
  <si>
    <r>
      <t>V</t>
    </r>
    <r>
      <rPr>
        <vertAlign val="subscript"/>
        <sz val="10"/>
        <rFont val="Arial"/>
        <family val="2"/>
      </rPr>
      <t>pl,y,d,S355</t>
    </r>
  </si>
  <si>
    <t>GammaM</t>
  </si>
  <si>
    <r>
      <t>W</t>
    </r>
    <r>
      <rPr>
        <vertAlign val="subscript"/>
        <sz val="10"/>
        <rFont val="Arial"/>
        <family val="2"/>
      </rPr>
      <t>pl,y</t>
    </r>
  </si>
  <si>
    <r>
      <t>W</t>
    </r>
    <r>
      <rPr>
        <vertAlign val="subscript"/>
        <sz val="10"/>
        <rFont val="Arial"/>
        <family val="2"/>
      </rPr>
      <t>pl,z</t>
    </r>
  </si>
  <si>
    <t>MN/m²</t>
  </si>
  <si>
    <r>
      <t>cm</t>
    </r>
    <r>
      <rPr>
        <vertAlign val="superscript"/>
        <sz val="10"/>
        <rFont val="Arial"/>
        <family val="2"/>
      </rPr>
      <t>4</t>
    </r>
  </si>
  <si>
    <t>kNm</t>
  </si>
  <si>
    <t>Hilfs-
spalte</t>
  </si>
  <si>
    <t>IPE_1</t>
  </si>
  <si>
    <t>IPE_2</t>
  </si>
  <si>
    <t>erster:</t>
  </si>
  <si>
    <t>letzter:</t>
  </si>
  <si>
    <t>HEAA_1</t>
  </si>
  <si>
    <t>HEAA_2</t>
  </si>
  <si>
    <t>HEA_1</t>
  </si>
  <si>
    <t>HEA_2</t>
  </si>
  <si>
    <t>HEB_1</t>
  </si>
  <si>
    <t>HEB_2</t>
  </si>
  <si>
    <t>IPEo_1</t>
  </si>
  <si>
    <t>IPEo_2</t>
  </si>
  <si>
    <t>IPEv_1</t>
  </si>
  <si>
    <t>IPEv_2</t>
  </si>
  <si>
    <t>Hilfswerte</t>
  </si>
  <si>
    <r>
      <t>i</t>
    </r>
    <r>
      <rPr>
        <vertAlign val="subscript"/>
        <sz val="10"/>
        <rFont val="Arial"/>
        <family val="2"/>
      </rPr>
      <t>y_</t>
    </r>
  </si>
  <si>
    <r>
      <t>i</t>
    </r>
    <r>
      <rPr>
        <vertAlign val="subscript"/>
        <sz val="10"/>
        <rFont val="Arial"/>
        <family val="2"/>
      </rPr>
      <t>z_</t>
    </r>
  </si>
  <si>
    <t>KSL</t>
  </si>
  <si>
    <r>
      <t>N</t>
    </r>
    <r>
      <rPr>
        <vertAlign val="subscript"/>
        <sz val="10"/>
        <rFont val="Arial"/>
        <family val="2"/>
      </rPr>
      <t>d</t>
    </r>
  </si>
  <si>
    <r>
      <t>M</t>
    </r>
    <r>
      <rPr>
        <vertAlign val="subscript"/>
        <sz val="10"/>
        <rFont val="Arial"/>
        <family val="2"/>
      </rPr>
      <t>y,d</t>
    </r>
  </si>
  <si>
    <r>
      <t>M</t>
    </r>
    <r>
      <rPr>
        <vertAlign val="subscript"/>
        <sz val="10"/>
        <rFont val="Arial"/>
        <family val="2"/>
      </rPr>
      <t>z,d</t>
    </r>
  </si>
  <si>
    <t>Material</t>
  </si>
  <si>
    <t>Beanspruchungen</t>
  </si>
  <si>
    <t>Knicklängen</t>
  </si>
  <si>
    <r>
      <t>s</t>
    </r>
    <r>
      <rPr>
        <vertAlign val="subscript"/>
        <sz val="10"/>
        <rFont val="Arial"/>
        <family val="2"/>
      </rPr>
      <t>K,y</t>
    </r>
  </si>
  <si>
    <r>
      <t>s</t>
    </r>
    <r>
      <rPr>
        <vertAlign val="subscript"/>
        <sz val="10"/>
        <rFont val="Arial"/>
        <family val="2"/>
      </rPr>
      <t>K,z</t>
    </r>
  </si>
  <si>
    <r>
      <t>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>²</t>
    </r>
  </si>
  <si>
    <r>
      <t xml:space="preserve">Sicherheit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</t>
    </r>
  </si>
  <si>
    <r>
      <t>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2"/>
      </rPr>
      <t>²(EI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>²</t>
    </r>
  </si>
  <si>
    <r>
      <t>M</t>
    </r>
    <r>
      <rPr>
        <vertAlign val="subscript"/>
        <sz val="10"/>
        <rFont val="Arial"/>
        <family val="2"/>
      </rPr>
      <t>pl,y,d</t>
    </r>
  </si>
  <si>
    <r>
      <t>N</t>
    </r>
    <r>
      <rPr>
        <vertAlign val="subscript"/>
        <sz val="10"/>
        <rFont val="Arial"/>
        <family val="2"/>
      </rPr>
      <t>pl,d</t>
    </r>
  </si>
  <si>
    <r>
      <t>M</t>
    </r>
    <r>
      <rPr>
        <vertAlign val="subscript"/>
        <sz val="10"/>
        <rFont val="Arial"/>
        <family val="2"/>
      </rPr>
      <t>pl,z,d</t>
    </r>
  </si>
  <si>
    <r>
      <t xml:space="preserve">Abminderungsfaktoren </t>
    </r>
    <r>
      <rPr>
        <b/>
        <sz val="10"/>
        <rFont val="Symbol"/>
        <family val="1"/>
      </rPr>
      <t>k</t>
    </r>
  </si>
  <si>
    <t>h/b</t>
  </si>
  <si>
    <t>≤≥</t>
  </si>
  <si>
    <r>
      <t xml:space="preserve">Bezogene Schlankheitsgrade </t>
    </r>
    <r>
      <rPr>
        <b/>
        <u val="single"/>
        <sz val="10"/>
        <rFont val="Symbol"/>
        <family val="1"/>
      </rPr>
      <t>l</t>
    </r>
    <r>
      <rPr>
        <b/>
        <vertAlign val="subscript"/>
        <sz val="10"/>
        <rFont val="Arial"/>
        <family val="2"/>
      </rPr>
      <t>K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</si>
  <si>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K,z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Ki,z,d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</si>
  <si>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K,y</t>
    </r>
    <r>
      <rPr>
        <sz val="10"/>
        <rFont val="Arial"/>
        <family val="2"/>
      </rPr>
      <t xml:space="preserve"> = (N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/N</t>
    </r>
    <r>
      <rPr>
        <vertAlign val="subscript"/>
        <sz val="10"/>
        <rFont val="Arial"/>
        <family val="2"/>
      </rPr>
      <t>Ki,y,d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</si>
  <si>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</si>
  <si>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</si>
  <si>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pl,y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</si>
  <si>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pl,z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</si>
  <si>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</si>
  <si>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</si>
  <si>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a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</si>
  <si>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z</t>
    </r>
  </si>
  <si>
    <r>
      <t>k</t>
    </r>
    <r>
      <rPr>
        <vertAlign val="subscript"/>
        <sz val="10"/>
        <rFont val="Arial"/>
        <family val="2"/>
      </rPr>
      <t>y</t>
    </r>
  </si>
  <si>
    <r>
      <t>k</t>
    </r>
    <r>
      <rPr>
        <vertAlign val="subscript"/>
        <sz val="10"/>
        <rFont val="Arial"/>
        <family val="2"/>
      </rPr>
      <t>z</t>
    </r>
  </si>
  <si>
    <r>
      <t>M</t>
    </r>
    <r>
      <rPr>
        <vertAlign val="subscript"/>
        <sz val="10"/>
        <rFont val="Arial"/>
        <family val="2"/>
      </rPr>
      <t>pl,z,d,red</t>
    </r>
  </si>
  <si>
    <r>
      <rPr>
        <sz val="10"/>
        <rFont val="Symbol"/>
        <family val="1"/>
      </rPr>
      <t>k</t>
    </r>
    <r>
      <rPr>
        <sz val="10"/>
        <rFont val="Arial"/>
        <family val="2"/>
      </rPr>
      <t xml:space="preserve"> = min(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,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</si>
  <si>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</si>
  <si>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n =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* [1-N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)]*</t>
    </r>
    <r>
      <rPr>
        <sz val="10"/>
        <rFont val="Symbol"/>
        <family val="1"/>
      </rPr>
      <t>k</t>
    </r>
    <r>
      <rPr>
        <sz val="10"/>
        <rFont val="Arial"/>
        <family val="2"/>
      </rPr>
      <t>²*</t>
    </r>
    <r>
      <rPr>
        <b/>
        <u val="single"/>
        <sz val="10"/>
        <rFont val="Symbol"/>
        <family val="1"/>
      </rPr>
      <t>l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²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</si>
  <si>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</si>
  <si>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</si>
  <si>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</si>
  <si>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 xml:space="preserve">)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m,y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m,z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pl,z,d,red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D</t>
    </r>
    <r>
      <rPr>
        <sz val="10"/>
        <rFont val="Arial"/>
        <family val="2"/>
      </rPr>
      <t>n &lt;= 1</t>
    </r>
  </si>
  <si>
    <t>Querschnittswerte</t>
  </si>
  <si>
    <t>Nachweismethode 1: Beiwerte</t>
  </si>
  <si>
    <t>Nachweismethode 2: Beiwerte</t>
  </si>
  <si>
    <t>Biegeknicknachweis Methode 1 (El. 321)</t>
  </si>
  <si>
    <t>Biegeknicknachweis Methode 2 (El. 322)</t>
  </si>
  <si>
    <r>
      <t>mit c</t>
    </r>
    <r>
      <rPr>
        <vertAlign val="subscript"/>
        <sz val="10"/>
        <rFont val="Arial"/>
        <family val="2"/>
      </rPr>
      <t>z</t>
    </r>
  </si>
  <si>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</si>
  <si>
    <t>≤ 0,9</t>
  </si>
  <si>
    <t>≤ 1,0</t>
  </si>
  <si>
    <t>≤ 0,8</t>
  </si>
  <si>
    <t>≤ 1,5</t>
  </si>
  <si>
    <r>
      <t>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*N</t>
    </r>
    <r>
      <rPr>
        <vertAlign val="subscript"/>
        <sz val="10"/>
        <rFont val="Arial"/>
        <family val="2"/>
      </rPr>
      <t>pl,d</t>
    </r>
    <r>
      <rPr>
        <sz val="10"/>
        <rFont val="Arial"/>
        <family val="2"/>
      </rPr>
      <t>) + M</t>
    </r>
    <r>
      <rPr>
        <vertAlign val="subscript"/>
        <sz val="10"/>
        <rFont val="Arial"/>
        <family val="2"/>
      </rPr>
      <t>y,d</t>
    </r>
    <r>
      <rPr>
        <sz val="10"/>
        <rFont val="Arial"/>
        <family val="2"/>
      </rPr>
      <t>/(</t>
    </r>
    <r>
      <rPr>
        <sz val="10"/>
        <rFont val="Symbol"/>
        <family val="1"/>
      </rP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*M</t>
    </r>
    <r>
      <rPr>
        <vertAlign val="subscript"/>
        <sz val="10"/>
        <rFont val="Arial"/>
        <family val="2"/>
      </rPr>
      <t>pl,y,d</t>
    </r>
    <r>
      <rPr>
        <sz val="10"/>
        <rFont val="Arial"/>
        <family val="2"/>
      </rPr>
      <t>)*k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z,d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pl,z,d</t>
    </r>
    <r>
      <rPr>
        <sz val="10"/>
        <rFont val="Arial"/>
        <family val="2"/>
      </rPr>
      <t>*k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&lt;= 1</t>
    </r>
  </si>
  <si>
    <t>z</t>
  </si>
  <si>
    <r>
      <t>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*10</t>
    </r>
    <r>
      <rPr>
        <vertAlign val="superscript"/>
        <sz val="10"/>
        <rFont val="Arial"/>
        <family val="2"/>
      </rPr>
      <t>-3</t>
    </r>
  </si>
  <si>
    <r>
      <t>z</t>
    </r>
    <r>
      <rPr>
        <vertAlign val="subscript"/>
        <sz val="10"/>
        <rFont val="Arial"/>
        <family val="2"/>
      </rPr>
      <t>p</t>
    </r>
  </si>
  <si>
    <r>
      <t>mit l = s</t>
    </r>
    <r>
      <rPr>
        <vertAlign val="subscript"/>
        <sz val="10"/>
        <rFont val="Arial"/>
        <family val="2"/>
      </rPr>
      <t>K,y</t>
    </r>
  </si>
  <si>
    <r>
      <t>M</t>
    </r>
    <r>
      <rPr>
        <vertAlign val="subscript"/>
        <sz val="10"/>
        <rFont val="Arial"/>
        <family val="2"/>
      </rPr>
      <t>Ki,y,d</t>
    </r>
  </si>
  <si>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M</t>
    </r>
  </si>
  <si>
    <t>mit n = 2,5 (Walzträger)</t>
  </si>
  <si>
    <t>ideelles Biegedrillknickmoment</t>
  </si>
  <si>
    <t>Biegedrillknicknachweis (El. 323)</t>
  </si>
  <si>
    <t>Zwischenwerte eingeblendet</t>
  </si>
  <si>
    <t>c²</t>
  </si>
  <si>
    <t>Kontrolle y</t>
  </si>
  <si>
    <t>Das Formblatt ist anwendbar für</t>
  </si>
  <si>
    <t>Knicken</t>
  </si>
  <si>
    <t>HEB</t>
  </si>
  <si>
    <t>&lt;-- zurück</t>
  </si>
  <si>
    <t>- I-förmige Walzträger</t>
  </si>
  <si>
    <t>- Normalkraft, (zweiachsige) Biegung</t>
  </si>
  <si>
    <t>- Biegedrillknicken</t>
  </si>
  <si>
    <t>Literatur</t>
  </si>
  <si>
    <t>Hilfe</t>
  </si>
  <si>
    <t>- Schneider-Bautabellen ~ S. 8.50</t>
  </si>
  <si>
    <t>- DIN 18800-2 11.90 ab Seite 15 (3.5 Element 321)</t>
  </si>
  <si>
    <t>- DIN-Normen</t>
  </si>
  <si>
    <t>- Beuth-Kommentar 'Stahlbauten - Erläuterungen</t>
  </si>
  <si>
    <t xml:space="preserve">   zu DIN 18800 Teil 1 bis Teil 4'</t>
  </si>
  <si>
    <r>
      <t xml:space="preserve">- Methode 1 </t>
    </r>
    <r>
      <rPr>
        <b/>
        <sz val="10"/>
        <color indexed="9"/>
        <rFont val="Arial"/>
        <family val="2"/>
      </rPr>
      <t>und</t>
    </r>
    <r>
      <rPr>
        <sz val="10"/>
        <color indexed="9"/>
        <rFont val="Arial"/>
        <family val="2"/>
      </rPr>
      <t xml:space="preserve"> 2 nach DIN 18800-2 für Biegeknicken</t>
    </r>
  </si>
  <si>
    <r>
      <t>M</t>
    </r>
    <r>
      <rPr>
        <vertAlign val="subscript"/>
        <sz val="10"/>
        <color indexed="9"/>
        <rFont val="Arial"/>
        <family val="2"/>
      </rPr>
      <t>ki,y,d</t>
    </r>
    <r>
      <rPr>
        <sz val="10"/>
        <color indexed="9"/>
        <rFont val="Arial"/>
        <family val="2"/>
      </rPr>
      <t xml:space="preserve"> = 1,32*btEI</t>
    </r>
    <r>
      <rPr>
        <vertAlign val="subscript"/>
        <sz val="10"/>
        <color indexed="9"/>
        <rFont val="Arial"/>
        <family val="2"/>
      </rPr>
      <t>y</t>
    </r>
    <r>
      <rPr>
        <sz val="10"/>
        <color indexed="9"/>
        <rFont val="Arial"/>
        <family val="2"/>
      </rPr>
      <t>/(lh²</t>
    </r>
    <r>
      <rPr>
        <sz val="10"/>
        <color indexed="9"/>
        <rFont val="Symbol"/>
        <family val="1"/>
      </rPr>
      <t>g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)</t>
    </r>
  </si>
  <si>
    <r>
      <rPr>
        <sz val="10"/>
        <color indexed="9"/>
        <rFont val="Symbol"/>
        <family val="1"/>
      </rPr>
      <t>l</t>
    </r>
    <r>
      <rPr>
        <vertAlign val="subscript"/>
        <sz val="10"/>
        <color indexed="9"/>
        <rFont val="Arial"/>
        <family val="2"/>
      </rPr>
      <t>M</t>
    </r>
  </si>
  <si>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</si>
  <si>
    <r>
      <t>M</t>
    </r>
    <r>
      <rPr>
        <vertAlign val="subscript"/>
        <sz val="10"/>
        <color indexed="9"/>
        <rFont val="Arial"/>
        <family val="2"/>
      </rPr>
      <t>y,d</t>
    </r>
    <r>
      <rPr>
        <sz val="10"/>
        <color indexed="9"/>
        <rFont val="Arial"/>
        <family val="2"/>
      </rPr>
      <t>/(</t>
    </r>
    <r>
      <rPr>
        <sz val="10"/>
        <color indexed="9"/>
        <rFont val="Symbol"/>
        <family val="1"/>
      </rPr>
      <t>k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*M</t>
    </r>
    <r>
      <rPr>
        <vertAlign val="subscript"/>
        <sz val="10"/>
        <color indexed="9"/>
        <rFont val="Arial"/>
        <family val="2"/>
      </rPr>
      <t>pl,y,d</t>
    </r>
    <r>
      <rPr>
        <sz val="10"/>
        <color indexed="9"/>
        <rFont val="Arial"/>
        <family val="2"/>
      </rPr>
      <t>) * k</t>
    </r>
    <r>
      <rPr>
        <vertAlign val="subscript"/>
        <sz val="10"/>
        <color indexed="9"/>
        <rFont val="Arial"/>
        <family val="2"/>
      </rPr>
      <t>y</t>
    </r>
  </si>
  <si>
    <t>S235</t>
  </si>
  <si>
    <t>IPE</t>
  </si>
  <si>
    <t>U</t>
  </si>
  <si>
    <t>[m²/m]</t>
  </si>
  <si>
    <t>HEM_1</t>
  </si>
  <si>
    <t>HEM100</t>
  </si>
  <si>
    <t>HEM120</t>
  </si>
  <si>
    <t>HEM140</t>
  </si>
  <si>
    <t>HEM160</t>
  </si>
  <si>
    <t>HEM180</t>
  </si>
  <si>
    <t>HEM200</t>
  </si>
  <si>
    <t>HEM220</t>
  </si>
  <si>
    <t>HEM240</t>
  </si>
  <si>
    <t>HEM260</t>
  </si>
  <si>
    <t>HEM280</t>
  </si>
  <si>
    <t>HEM300</t>
  </si>
  <si>
    <t>HEM320</t>
  </si>
  <si>
    <t>HEM340</t>
  </si>
  <si>
    <t>HEM360</t>
  </si>
  <si>
    <t>HEM400</t>
  </si>
  <si>
    <t>HEM450</t>
  </si>
  <si>
    <t>HEM500</t>
  </si>
  <si>
    <t>HEM550</t>
  </si>
  <si>
    <t>HEM600</t>
  </si>
  <si>
    <t>HEM650</t>
  </si>
  <si>
    <t>HEM700</t>
  </si>
  <si>
    <t>HEM800</t>
  </si>
  <si>
    <t>HEM900</t>
  </si>
  <si>
    <t>HEM1000</t>
  </si>
  <si>
    <t>HEM_2</t>
  </si>
  <si>
    <t>Eingabefelder - Druckbereich ab Spalte P --&gt;</t>
  </si>
  <si>
    <t>Kontakt</t>
  </si>
  <si>
    <t>DIN1055.de - Software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</si>
</sst>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IPE&quot;\ ?"/>
    <numFmt numFmtId="167" formatCode="0.00000"/>
    <numFmt numFmtId="168" formatCode="0.0000"/>
    <numFmt numFmtId="169" formatCode="0.000000"/>
    <numFmt numFmtId="170" formatCode="0.0000000"/>
    <numFmt numFmtId="171" formatCode="&quot;+ &quot;0.00"/>
    <numFmt numFmtId="172" formatCode="0&quot; mm&quot;"/>
    <numFmt numFmtId="173" formatCode="0.0&quot; cm&quot;"/>
    <numFmt numFmtId="174" formatCode="0.00&quot; kN/m&quot;"/>
    <numFmt numFmtId="175" formatCode="0&quot; cm³&quot;"/>
    <numFmt numFmtId="176" formatCode="???00000"/>
    <numFmt numFmtId="177" formatCode="0&quot; MN/m²&quot;"/>
    <numFmt numFmtId="178" formatCode="0&quot; kN/cm²&quot;"/>
    <numFmt numFmtId="179" formatCode="0&quot; kN&quot;"/>
    <numFmt numFmtId="180" formatCode="0&quot; kNm&quot;"/>
    <numFmt numFmtId="181" formatCode="0.00000000"/>
    <numFmt numFmtId="182" formatCode=";;;"/>
    <numFmt numFmtId="183" formatCode="0.00&quot; mm&quot;"/>
    <numFmt numFmtId="184" formatCode="00000"/>
    <numFmt numFmtId="185" formatCode="0.00&quot; cm²&quot;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2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Symbol"/>
      <family val="1"/>
    </font>
    <font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Symbol"/>
      <family val="1"/>
    </font>
    <font>
      <b/>
      <sz val="10"/>
      <name val="Symbol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Symbol"/>
      <family val="1"/>
    </font>
    <font>
      <vertAlign val="sub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Calibri"/>
      <family val="2"/>
    </font>
    <font>
      <u val="single"/>
      <sz val="10"/>
      <color indexed="13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212">
    <xf numFmtId="0" fontId="0" fillId="0" borderId="0" xfId="0" applyAlignment="1">
      <alignment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2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53">
      <alignment/>
      <protection/>
    </xf>
    <xf numFmtId="0" fontId="7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0" fontId="9" fillId="0" borderId="0" xfId="53" applyFont="1">
      <alignment/>
      <protection/>
    </xf>
    <xf numFmtId="0" fontId="7" fillId="0" borderId="0" xfId="53" applyFont="1" applyFill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2" fontId="0" fillId="0" borderId="0" xfId="53" applyNumberFormat="1" applyFill="1" applyAlignment="1">
      <alignment horizontal="center"/>
      <protection/>
    </xf>
    <xf numFmtId="0" fontId="0" fillId="0" borderId="0" xfId="53" applyFill="1" applyAlignment="1">
      <alignment horizontal="left"/>
      <protection/>
    </xf>
    <xf numFmtId="0" fontId="0" fillId="0" borderId="0" xfId="53" applyFill="1" applyAlignment="1">
      <alignment horizontal="right"/>
      <protection/>
    </xf>
    <xf numFmtId="2" fontId="0" fillId="0" borderId="0" xfId="53" applyNumberFormat="1" applyAlignment="1">
      <alignment horizontal="center"/>
      <protection/>
    </xf>
    <xf numFmtId="165" fontId="0" fillId="0" borderId="0" xfId="53" applyNumberFormat="1" applyFill="1" applyAlignment="1">
      <alignment horizontal="center"/>
      <protection/>
    </xf>
    <xf numFmtId="165" fontId="0" fillId="0" borderId="0" xfId="53" applyNumberFormat="1" applyFill="1" applyAlignment="1">
      <alignment horizontal="left"/>
      <protection/>
    </xf>
    <xf numFmtId="0" fontId="0" fillId="0" borderId="0" xfId="53" applyAlignment="1">
      <alignment horizontal="left"/>
      <protection/>
    </xf>
    <xf numFmtId="2" fontId="0" fillId="0" borderId="0" xfId="53" applyNumberFormat="1" applyAlignment="1">
      <alignment horizontal="right"/>
      <protection/>
    </xf>
    <xf numFmtId="2" fontId="0" fillId="0" borderId="0" xfId="53" applyNumberFormat="1" applyFill="1" applyAlignment="1">
      <alignment horizontal="left"/>
      <protection/>
    </xf>
    <xf numFmtId="2" fontId="7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right"/>
      <protection/>
    </xf>
    <xf numFmtId="2" fontId="0" fillId="0" borderId="0" xfId="53" applyNumberFormat="1" applyFill="1" applyAlignment="1">
      <alignment horizontal="right"/>
      <protection/>
    </xf>
    <xf numFmtId="165" fontId="7" fillId="0" borderId="0" xfId="53" applyNumberFormat="1" applyFont="1" applyFill="1" applyAlignment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53" applyNumberFormat="1">
      <alignment/>
      <protection/>
    </xf>
    <xf numFmtId="2" fontId="0" fillId="0" borderId="0" xfId="53" applyNumberFormat="1" applyAlignment="1">
      <alignment horizontal="left"/>
      <protection/>
    </xf>
    <xf numFmtId="0" fontId="7" fillId="0" borderId="0" xfId="53" applyFont="1" applyAlignment="1">
      <alignment horizontal="left"/>
      <protection/>
    </xf>
    <xf numFmtId="1" fontId="0" fillId="0" borderId="0" xfId="53" applyNumberFormat="1">
      <alignment/>
      <protection/>
    </xf>
    <xf numFmtId="0" fontId="0" fillId="0" borderId="10" xfId="53" applyBorder="1">
      <alignment/>
      <protection/>
    </xf>
    <xf numFmtId="0" fontId="4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0" xfId="53" applyFont="1" applyBorder="1">
      <alignment/>
      <protection/>
    </xf>
    <xf numFmtId="171" fontId="0" fillId="0" borderId="0" xfId="53" applyNumberFormat="1" applyAlignment="1">
      <alignment horizontal="center"/>
      <protection/>
    </xf>
    <xf numFmtId="0" fontId="0" fillId="0" borderId="0" xfId="53" applyAlignment="1">
      <alignment horizontal="centerContinuous"/>
      <protection/>
    </xf>
    <xf numFmtId="0" fontId="0" fillId="0" borderId="11" xfId="53" applyBorder="1" applyAlignment="1">
      <alignment horizontal="centerContinuous"/>
      <protection/>
    </xf>
    <xf numFmtId="0" fontId="0" fillId="0" borderId="12" xfId="53" applyBorder="1" applyAlignment="1">
      <alignment horizontal="centerContinuous"/>
      <protection/>
    </xf>
    <xf numFmtId="0" fontId="0" fillId="0" borderId="13" xfId="53" applyBorder="1" applyAlignment="1">
      <alignment horizontal="centerContinuous"/>
      <protection/>
    </xf>
    <xf numFmtId="0" fontId="0" fillId="0" borderId="11" xfId="53" applyBorder="1">
      <alignment/>
      <protection/>
    </xf>
    <xf numFmtId="0" fontId="0" fillId="0" borderId="13" xfId="53" applyBorder="1">
      <alignment/>
      <protection/>
    </xf>
    <xf numFmtId="172" fontId="0" fillId="0" borderId="0" xfId="53" applyNumberFormat="1" applyFill="1" applyAlignment="1">
      <alignment horizontal="left"/>
      <protection/>
    </xf>
    <xf numFmtId="175" fontId="0" fillId="0" borderId="0" xfId="53" applyNumberFormat="1" applyFill="1" applyAlignment="1">
      <alignment horizontal="left"/>
      <protection/>
    </xf>
    <xf numFmtId="173" fontId="0" fillId="0" borderId="0" xfId="53" applyNumberFormat="1" applyFill="1" applyAlignment="1">
      <alignment horizontal="left"/>
      <protection/>
    </xf>
    <xf numFmtId="174" fontId="0" fillId="0" borderId="0" xfId="53" applyNumberFormat="1" applyFill="1" applyAlignment="1">
      <alignment horizontal="left"/>
      <protection/>
    </xf>
    <xf numFmtId="179" fontId="0" fillId="0" borderId="0" xfId="53" applyNumberFormat="1" applyAlignment="1">
      <alignment horizontal="left"/>
      <protection/>
    </xf>
    <xf numFmtId="180" fontId="0" fillId="0" borderId="0" xfId="53" applyNumberFormat="1" applyAlignment="1">
      <alignment horizontal="left"/>
      <protection/>
    </xf>
    <xf numFmtId="175" fontId="0" fillId="0" borderId="0" xfId="53" applyNumberFormat="1" applyAlignment="1">
      <alignment horizontal="left"/>
      <protection/>
    </xf>
    <xf numFmtId="179" fontId="0" fillId="0" borderId="0" xfId="53" applyNumberFormat="1" applyAlignment="1">
      <alignment horizontal="right"/>
      <protection/>
    </xf>
    <xf numFmtId="171" fontId="0" fillId="0" borderId="0" xfId="53" applyNumberFormat="1" applyFill="1" applyAlignment="1">
      <alignment horizontal="center"/>
      <protection/>
    </xf>
    <xf numFmtId="0" fontId="0" fillId="0" borderId="14" xfId="53" applyBorder="1">
      <alignment/>
      <protection/>
    </xf>
    <xf numFmtId="2" fontId="0" fillId="0" borderId="14" xfId="53" applyNumberFormat="1" applyBorder="1" applyAlignment="1">
      <alignment horizontal="center"/>
      <protection/>
    </xf>
    <xf numFmtId="171" fontId="0" fillId="0" borderId="14" xfId="53" applyNumberFormat="1" applyBorder="1" applyAlignment="1">
      <alignment horizontal="center"/>
      <protection/>
    </xf>
    <xf numFmtId="2" fontId="7" fillId="0" borderId="0" xfId="53" applyNumberFormat="1" applyFont="1" applyAlignment="1">
      <alignment horizontal="center"/>
      <protection/>
    </xf>
    <xf numFmtId="2" fontId="0" fillId="0" borderId="0" xfId="53" applyNumberFormat="1" applyFont="1" applyAlignment="1">
      <alignment horizontal="left"/>
      <protection/>
    </xf>
    <xf numFmtId="0" fontId="7" fillId="0" borderId="15" xfId="53" applyFont="1" applyBorder="1">
      <alignment/>
      <protection/>
    </xf>
    <xf numFmtId="0" fontId="0" fillId="0" borderId="15" xfId="53" applyBorder="1">
      <alignment/>
      <protection/>
    </xf>
    <xf numFmtId="171" fontId="0" fillId="0" borderId="0" xfId="53" applyNumberFormat="1" applyAlignment="1">
      <alignment horizontal="centerContinuous"/>
      <protection/>
    </xf>
    <xf numFmtId="0" fontId="0" fillId="0" borderId="0" xfId="53" applyBorder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82" fontId="0" fillId="0" borderId="0" xfId="53" applyNumberFormat="1" applyFont="1" applyFill="1" applyAlignment="1">
      <alignment horizontal="left"/>
      <protection/>
    </xf>
    <xf numFmtId="171" fontId="0" fillId="0" borderId="0" xfId="53" applyNumberFormat="1" applyFont="1" applyAlignment="1">
      <alignment horizontal="left"/>
      <protection/>
    </xf>
    <xf numFmtId="1" fontId="0" fillId="0" borderId="0" xfId="53" applyNumberFormat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85" fontId="0" fillId="0" borderId="0" xfId="53" applyNumberFormat="1" applyAlignment="1">
      <alignment horizontal="right"/>
      <protection/>
    </xf>
    <xf numFmtId="165" fontId="0" fillId="0" borderId="0" xfId="53" applyNumberFormat="1" applyAlignment="1">
      <alignment horizontal="right"/>
      <protection/>
    </xf>
    <xf numFmtId="2" fontId="0" fillId="0" borderId="15" xfId="53" applyNumberFormat="1" applyBorder="1" applyAlignment="1">
      <alignment horizontal="center"/>
      <protection/>
    </xf>
    <xf numFmtId="171" fontId="0" fillId="0" borderId="15" xfId="53" applyNumberFormat="1" applyBorder="1" applyAlignment="1">
      <alignment horizontal="center"/>
      <protection/>
    </xf>
    <xf numFmtId="0" fontId="0" fillId="24" borderId="0" xfId="0" applyFill="1" applyBorder="1" applyAlignment="1">
      <alignment horizontal="centerContinuous"/>
    </xf>
    <xf numFmtId="0" fontId="4" fillId="0" borderId="0" xfId="53" applyFont="1" applyFill="1" applyAlignment="1">
      <alignment horizontal="center"/>
      <protection/>
    </xf>
    <xf numFmtId="0" fontId="0" fillId="0" borderId="0" xfId="53" applyProtection="1">
      <alignment/>
      <protection/>
    </xf>
    <xf numFmtId="0" fontId="0" fillId="0" borderId="0" xfId="53" applyFill="1" applyProtection="1">
      <alignment/>
      <protection/>
    </xf>
    <xf numFmtId="0" fontId="7" fillId="0" borderId="0" xfId="53" applyFont="1" applyProtection="1">
      <alignment/>
      <protection/>
    </xf>
    <xf numFmtId="0" fontId="7" fillId="0" borderId="0" xfId="53" applyFont="1" applyAlignment="1" applyProtection="1">
      <alignment horizontal="left"/>
      <protection/>
    </xf>
    <xf numFmtId="0" fontId="0" fillId="0" borderId="0" xfId="53" applyAlignment="1" applyProtection="1">
      <alignment horizontal="left"/>
      <protection/>
    </xf>
    <xf numFmtId="0" fontId="0" fillId="0" borderId="0" xfId="53" applyFill="1" applyAlignment="1" applyProtection="1">
      <alignment horizontal="left"/>
      <protection/>
    </xf>
    <xf numFmtId="179" fontId="0" fillId="0" borderId="0" xfId="53" applyNumberFormat="1" applyFill="1" applyAlignment="1" applyProtection="1">
      <alignment horizontal="left"/>
      <protection/>
    </xf>
    <xf numFmtId="179" fontId="0" fillId="0" borderId="0" xfId="53" applyNumberFormat="1" applyAlignment="1" applyProtection="1">
      <alignment horizontal="left"/>
      <protection/>
    </xf>
    <xf numFmtId="172" fontId="0" fillId="0" borderId="0" xfId="53" applyNumberFormat="1" applyFill="1" applyAlignment="1" applyProtection="1">
      <alignment horizontal="left"/>
      <protection/>
    </xf>
    <xf numFmtId="0" fontId="0" fillId="0" borderId="0" xfId="53" applyFill="1" applyAlignment="1" applyProtection="1">
      <alignment horizontal="center"/>
      <protection/>
    </xf>
    <xf numFmtId="180" fontId="0" fillId="0" borderId="0" xfId="53" applyNumberFormat="1" applyFill="1" applyAlignment="1" applyProtection="1">
      <alignment horizontal="left"/>
      <protection/>
    </xf>
    <xf numFmtId="180" fontId="0" fillId="0" borderId="0" xfId="53" applyNumberFormat="1" applyAlignment="1" applyProtection="1">
      <alignment horizontal="left"/>
      <protection/>
    </xf>
    <xf numFmtId="175" fontId="0" fillId="0" borderId="0" xfId="53" applyNumberFormat="1" applyFill="1" applyAlignment="1" applyProtection="1">
      <alignment horizontal="left"/>
      <protection/>
    </xf>
    <xf numFmtId="175" fontId="0" fillId="0" borderId="0" xfId="53" applyNumberFormat="1" applyAlignment="1" applyProtection="1">
      <alignment horizontal="left"/>
      <protection/>
    </xf>
    <xf numFmtId="0" fontId="0" fillId="0" borderId="0" xfId="53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left"/>
      <protection/>
    </xf>
    <xf numFmtId="173" fontId="0" fillId="0" borderId="0" xfId="53" applyNumberFormat="1" applyFill="1" applyAlignment="1" applyProtection="1">
      <alignment horizontal="left"/>
      <protection/>
    </xf>
    <xf numFmtId="174" fontId="0" fillId="0" borderId="0" xfId="53" applyNumberFormat="1" applyFill="1" applyAlignment="1" applyProtection="1">
      <alignment horizontal="left"/>
      <protection/>
    </xf>
    <xf numFmtId="0" fontId="4" fillId="0" borderId="0" xfId="53" applyFont="1" applyFill="1" applyAlignment="1" applyProtection="1">
      <alignment horizontal="center"/>
      <protection/>
    </xf>
    <xf numFmtId="165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Alignment="1" applyProtection="1">
      <alignment horizontal="center"/>
      <protection/>
    </xf>
    <xf numFmtId="179" fontId="0" fillId="0" borderId="0" xfId="53" applyNumberFormat="1" applyAlignment="1" applyProtection="1">
      <alignment horizontal="right"/>
      <protection/>
    </xf>
    <xf numFmtId="0" fontId="0" fillId="0" borderId="10" xfId="53" applyBorder="1" applyProtection="1">
      <alignment/>
      <protection/>
    </xf>
    <xf numFmtId="2" fontId="0" fillId="0" borderId="0" xfId="53" applyNumberFormat="1" applyProtection="1">
      <alignment/>
      <protection/>
    </xf>
    <xf numFmtId="1" fontId="0" fillId="0" borderId="0" xfId="53" applyNumberFormat="1" applyProtection="1">
      <alignment/>
      <protection/>
    </xf>
    <xf numFmtId="0" fontId="0" fillId="0" borderId="0" xfId="53" applyFont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0" fontId="0" fillId="0" borderId="0" xfId="53" applyAlignment="1" applyProtection="1">
      <alignment horizontal="right"/>
      <protection/>
    </xf>
    <xf numFmtId="0" fontId="4" fillId="0" borderId="0" xfId="53" applyFont="1" applyProtection="1">
      <alignment/>
      <protection/>
    </xf>
    <xf numFmtId="2" fontId="0" fillId="0" borderId="0" xfId="53" applyNumberFormat="1" applyAlignment="1" applyProtection="1">
      <alignment horizontal="right"/>
      <protection/>
    </xf>
    <xf numFmtId="0" fontId="4" fillId="0" borderId="10" xfId="53" applyFont="1" applyBorder="1" applyProtection="1">
      <alignment/>
      <protection/>
    </xf>
    <xf numFmtId="0" fontId="0" fillId="0" borderId="0" xfId="53" applyFont="1" applyProtection="1">
      <alignment/>
      <protection/>
    </xf>
    <xf numFmtId="0" fontId="0" fillId="0" borderId="10" xfId="53" applyFont="1" applyBorder="1" applyProtection="1">
      <alignment/>
      <protection/>
    </xf>
    <xf numFmtId="0" fontId="7" fillId="0" borderId="15" xfId="53" applyFont="1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0" xfId="53" applyFont="1" applyBorder="1" applyProtection="1">
      <alignment/>
      <protection/>
    </xf>
    <xf numFmtId="2" fontId="0" fillId="0" borderId="0" xfId="53" applyNumberFormat="1" applyFill="1" applyProtection="1">
      <alignment/>
      <protection/>
    </xf>
    <xf numFmtId="0" fontId="0" fillId="0" borderId="11" xfId="53" applyBorder="1" applyAlignment="1" applyProtection="1">
      <alignment horizontal="centerContinuous"/>
      <protection/>
    </xf>
    <xf numFmtId="0" fontId="0" fillId="0" borderId="12" xfId="53" applyBorder="1" applyAlignment="1" applyProtection="1">
      <alignment horizontal="centerContinuous"/>
      <protection/>
    </xf>
    <xf numFmtId="0" fontId="0" fillId="0" borderId="13" xfId="53" applyBorder="1" applyAlignment="1" applyProtection="1">
      <alignment horizontal="centerContinuous"/>
      <protection/>
    </xf>
    <xf numFmtId="0" fontId="0" fillId="0" borderId="0" xfId="53" applyAlignment="1" applyProtection="1">
      <alignment horizontal="centerContinuous"/>
      <protection/>
    </xf>
    <xf numFmtId="171" fontId="0" fillId="0" borderId="0" xfId="53" applyNumberFormat="1" applyAlignment="1" applyProtection="1">
      <alignment horizontal="center"/>
      <protection/>
    </xf>
    <xf numFmtId="2" fontId="7" fillId="0" borderId="0" xfId="53" applyNumberFormat="1" applyFont="1" applyAlignment="1" applyProtection="1">
      <alignment horizontal="center"/>
      <protection/>
    </xf>
    <xf numFmtId="0" fontId="0" fillId="0" borderId="14" xfId="53" applyBorder="1" applyProtection="1">
      <alignment/>
      <protection/>
    </xf>
    <xf numFmtId="2" fontId="0" fillId="0" borderId="14" xfId="53" applyNumberFormat="1" applyBorder="1" applyAlignment="1" applyProtection="1">
      <alignment horizontal="center"/>
      <protection/>
    </xf>
    <xf numFmtId="171" fontId="0" fillId="0" borderId="14" xfId="53" applyNumberFormat="1" applyBorder="1" applyAlignment="1" applyProtection="1">
      <alignment horizontal="center"/>
      <protection/>
    </xf>
    <xf numFmtId="171" fontId="0" fillId="0" borderId="0" xfId="53" applyNumberFormat="1" applyFill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left"/>
      <protection/>
    </xf>
    <xf numFmtId="2" fontId="0" fillId="0" borderId="0" xfId="53" applyNumberFormat="1" applyAlignment="1" applyProtection="1">
      <alignment horizontal="left"/>
      <protection/>
    </xf>
    <xf numFmtId="171" fontId="0" fillId="0" borderId="0" xfId="53" applyNumberFormat="1" applyAlignment="1" applyProtection="1">
      <alignment horizontal="centerContinuous"/>
      <protection/>
    </xf>
    <xf numFmtId="0" fontId="0" fillId="0" borderId="11" xfId="53" applyBorder="1" applyProtection="1">
      <alignment/>
      <protection/>
    </xf>
    <xf numFmtId="0" fontId="0" fillId="0" borderId="13" xfId="53" applyBorder="1" applyProtection="1">
      <alignment/>
      <protection/>
    </xf>
    <xf numFmtId="2" fontId="0" fillId="0" borderId="15" xfId="53" applyNumberFormat="1" applyBorder="1" applyAlignment="1" applyProtection="1">
      <alignment horizontal="center"/>
      <protection/>
    </xf>
    <xf numFmtId="171" fontId="0" fillId="0" borderId="15" xfId="53" applyNumberFormat="1" applyBorder="1" applyAlignment="1" applyProtection="1">
      <alignment horizontal="center"/>
      <protection/>
    </xf>
    <xf numFmtId="2" fontId="0" fillId="0" borderId="0" xfId="53" applyNumberFormat="1" applyFill="1" applyAlignment="1" applyProtection="1">
      <alignment horizontal="right"/>
      <protection/>
    </xf>
    <xf numFmtId="2" fontId="0" fillId="0" borderId="0" xfId="53" applyNumberFormat="1" applyFont="1" applyAlignment="1" applyProtection="1">
      <alignment horizontal="left"/>
      <protection/>
    </xf>
    <xf numFmtId="165" fontId="0" fillId="0" borderId="0" xfId="53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ont="1" applyProtection="1">
      <alignment/>
      <protection/>
    </xf>
    <xf numFmtId="183" fontId="0" fillId="0" borderId="0" xfId="53" applyNumberFormat="1" applyFill="1" applyAlignment="1" applyProtection="1">
      <alignment horizontal="right"/>
      <protection/>
    </xf>
    <xf numFmtId="182" fontId="0" fillId="0" borderId="0" xfId="53" applyNumberFormat="1" applyFont="1" applyFill="1" applyAlignment="1" applyProtection="1">
      <alignment horizontal="left"/>
      <protection/>
    </xf>
    <xf numFmtId="171" fontId="0" fillId="0" borderId="0" xfId="53" applyNumberFormat="1" applyFont="1" applyAlignment="1" applyProtection="1">
      <alignment horizontal="left"/>
      <protection/>
    </xf>
    <xf numFmtId="1" fontId="0" fillId="0" borderId="0" xfId="53" applyNumberFormat="1" applyAlignment="1" applyProtection="1">
      <alignment horizontal="right"/>
      <protection/>
    </xf>
    <xf numFmtId="185" fontId="0" fillId="0" borderId="0" xfId="53" applyNumberFormat="1" applyAlignment="1" applyProtection="1">
      <alignment horizontal="right"/>
      <protection/>
    </xf>
    <xf numFmtId="0" fontId="0" fillId="0" borderId="0" xfId="53" applyBorder="1" applyProtection="1">
      <alignment/>
      <protection/>
    </xf>
    <xf numFmtId="179" fontId="0" fillId="25" borderId="0" xfId="53" applyNumberFormat="1" applyFill="1" applyAlignment="1" applyProtection="1">
      <alignment horizontal="left"/>
      <protection locked="0"/>
    </xf>
    <xf numFmtId="0" fontId="0" fillId="25" borderId="0" xfId="53" applyFill="1" applyAlignment="1" applyProtection="1">
      <alignment horizontal="left"/>
      <protection locked="0"/>
    </xf>
    <xf numFmtId="180" fontId="0" fillId="25" borderId="0" xfId="53" applyNumberFormat="1" applyFill="1" applyAlignment="1" applyProtection="1">
      <alignment horizontal="left"/>
      <protection locked="0"/>
    </xf>
    <xf numFmtId="0" fontId="0" fillId="25" borderId="0" xfId="53" applyFont="1" applyFill="1" applyAlignment="1" applyProtection="1">
      <alignment horizontal="left"/>
      <protection locked="0"/>
    </xf>
    <xf numFmtId="165" fontId="0" fillId="25" borderId="0" xfId="53" applyNumberFormat="1" applyFill="1" applyAlignment="1" applyProtection="1">
      <alignment horizontal="left"/>
      <protection locked="0"/>
    </xf>
    <xf numFmtId="165" fontId="0" fillId="25" borderId="0" xfId="53" applyNumberFormat="1" applyFill="1" applyAlignment="1" applyProtection="1">
      <alignment horizontal="center"/>
      <protection locked="0"/>
    </xf>
    <xf numFmtId="2" fontId="0" fillId="25" borderId="0" xfId="53" applyNumberFormat="1" applyFill="1" applyAlignment="1" applyProtection="1">
      <alignment horizontal="center"/>
      <protection locked="0"/>
    </xf>
    <xf numFmtId="2" fontId="0" fillId="25" borderId="0" xfId="53" applyNumberFormat="1" applyFill="1" applyProtection="1">
      <alignment/>
      <protection locked="0"/>
    </xf>
    <xf numFmtId="2" fontId="0" fillId="25" borderId="0" xfId="53" applyNumberFormat="1" applyFill="1" applyAlignment="1" applyProtection="1">
      <alignment horizontal="right"/>
      <protection locked="0"/>
    </xf>
    <xf numFmtId="183" fontId="0" fillId="25" borderId="0" xfId="53" applyNumberFormat="1" applyFill="1" applyAlignment="1" applyProtection="1">
      <alignment horizontal="right"/>
      <protection locked="0"/>
    </xf>
    <xf numFmtId="0" fontId="0" fillId="25" borderId="0" xfId="53" applyFill="1">
      <alignment/>
      <protection/>
    </xf>
    <xf numFmtId="0" fontId="25" fillId="25" borderId="0" xfId="48" applyFill="1" applyAlignment="1" applyProtection="1">
      <alignment/>
      <protection/>
    </xf>
    <xf numFmtId="0" fontId="9" fillId="0" borderId="0" xfId="53" applyFont="1" applyProtection="1">
      <alignment/>
      <protection/>
    </xf>
    <xf numFmtId="179" fontId="0" fillId="0" borderId="0" xfId="53" applyNumberFormat="1" applyProtection="1">
      <alignment/>
      <protection/>
    </xf>
    <xf numFmtId="179" fontId="0" fillId="0" borderId="0" xfId="53" applyNumberFormat="1" applyFont="1" applyFill="1" applyAlignment="1" applyProtection="1">
      <alignment horizontal="left"/>
      <protection/>
    </xf>
    <xf numFmtId="2" fontId="0" fillId="0" borderId="0" xfId="53" applyNumberFormat="1" applyFont="1" applyAlignment="1" applyProtection="1">
      <alignment horizontal="right"/>
      <protection/>
    </xf>
    <xf numFmtId="2" fontId="0" fillId="0" borderId="0" xfId="53" applyNumberFormat="1" applyAlignment="1" applyProtection="1">
      <alignment horizontal="centerContinuous"/>
      <protection/>
    </xf>
    <xf numFmtId="0" fontId="25" fillId="0" borderId="0" xfId="48" applyFill="1" applyAlignment="1" applyProtection="1" quotePrefix="1">
      <alignment/>
      <protection/>
    </xf>
    <xf numFmtId="0" fontId="0" fillId="0" borderId="16" xfId="53" applyBorder="1">
      <alignment/>
      <protection/>
    </xf>
    <xf numFmtId="0" fontId="0" fillId="0" borderId="16" xfId="53" applyFill="1" applyBorder="1" applyAlignment="1">
      <alignment horizontal="center"/>
      <protection/>
    </xf>
    <xf numFmtId="0" fontId="13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36" fillId="26" borderId="17" xfId="53" applyFont="1" applyFill="1" applyBorder="1">
      <alignment/>
      <protection/>
    </xf>
    <xf numFmtId="0" fontId="12" fillId="26" borderId="18" xfId="53" applyFont="1" applyFill="1" applyBorder="1">
      <alignment/>
      <protection/>
    </xf>
    <xf numFmtId="0" fontId="12" fillId="26" borderId="19" xfId="53" applyFont="1" applyFill="1" applyBorder="1">
      <alignment/>
      <protection/>
    </xf>
    <xf numFmtId="0" fontId="12" fillId="26" borderId="20" xfId="53" applyFont="1" applyFill="1" applyBorder="1">
      <alignment/>
      <protection/>
    </xf>
    <xf numFmtId="0" fontId="12" fillId="26" borderId="0" xfId="53" applyFont="1" applyFill="1" applyBorder="1">
      <alignment/>
      <protection/>
    </xf>
    <xf numFmtId="0" fontId="12" fillId="26" borderId="16" xfId="53" applyFont="1" applyFill="1" applyBorder="1">
      <alignment/>
      <protection/>
    </xf>
    <xf numFmtId="0" fontId="13" fillId="26" borderId="0" xfId="53" applyFont="1" applyFill="1">
      <alignment/>
      <protection/>
    </xf>
    <xf numFmtId="0" fontId="12" fillId="26" borderId="0" xfId="53" applyFont="1" applyFill="1">
      <alignment/>
      <protection/>
    </xf>
    <xf numFmtId="0" fontId="12" fillId="26" borderId="0" xfId="53" applyFont="1" applyFill="1" quotePrefix="1">
      <alignment/>
      <protection/>
    </xf>
    <xf numFmtId="0" fontId="12" fillId="26" borderId="0" xfId="53" applyFont="1" applyFill="1" applyAlignment="1">
      <alignment horizontal="right"/>
      <protection/>
    </xf>
    <xf numFmtId="0" fontId="14" fillId="26" borderId="0" xfId="53" applyFont="1" applyFill="1">
      <alignment/>
      <protection/>
    </xf>
    <xf numFmtId="2" fontId="12" fillId="26" borderId="0" xfId="53" applyNumberFormat="1" applyFont="1" applyFill="1" applyAlignment="1">
      <alignment horizontal="right"/>
      <protection/>
    </xf>
    <xf numFmtId="0" fontId="12" fillId="26" borderId="0" xfId="53" applyFont="1" applyFill="1" applyAlignment="1">
      <alignment horizontal="left"/>
      <protection/>
    </xf>
    <xf numFmtId="0" fontId="0" fillId="26" borderId="0" xfId="53" applyFill="1">
      <alignment/>
      <protection/>
    </xf>
    <xf numFmtId="0" fontId="37" fillId="26" borderId="0" xfId="53" applyFont="1" applyFill="1" applyAlignment="1">
      <alignment horizontal="right"/>
      <protection/>
    </xf>
    <xf numFmtId="1" fontId="12" fillId="26" borderId="0" xfId="53" applyNumberFormat="1" applyFont="1" applyFill="1">
      <alignment/>
      <protection/>
    </xf>
    <xf numFmtId="2" fontId="12" fillId="26" borderId="0" xfId="53" applyNumberFormat="1" applyFont="1" applyFill="1">
      <alignment/>
      <protection/>
    </xf>
    <xf numFmtId="0" fontId="12" fillId="26" borderId="0" xfId="53" applyFont="1" applyFill="1" applyBorder="1" applyAlignment="1">
      <alignment horizontal="left"/>
      <protection/>
    </xf>
    <xf numFmtId="0" fontId="12" fillId="26" borderId="21" xfId="53" applyFont="1" applyFill="1" applyBorder="1">
      <alignment/>
      <protection/>
    </xf>
    <xf numFmtId="0" fontId="38" fillId="26" borderId="22" xfId="48" applyFont="1" applyFill="1" applyBorder="1" applyAlignment="1">
      <alignment/>
    </xf>
    <xf numFmtId="0" fontId="40" fillId="0" borderId="0" xfId="0" applyFont="1" applyAlignment="1">
      <alignment/>
    </xf>
    <xf numFmtId="0" fontId="38" fillId="26" borderId="23" xfId="48" applyFont="1" applyFill="1" applyBorder="1" applyAlignment="1">
      <alignment horizontal="right"/>
    </xf>
    <xf numFmtId="0" fontId="1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theme="6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54</xdr:row>
      <xdr:rowOff>190500</xdr:rowOff>
    </xdr:from>
    <xdr:to>
      <xdr:col>3</xdr:col>
      <xdr:colOff>800100</xdr:colOff>
      <xdr:row>56</xdr:row>
      <xdr:rowOff>57150</xdr:rowOff>
    </xdr:to>
    <xdr:sp textlink="$C$56">
      <xdr:nvSpPr>
        <xdr:cNvPr id="1" name="Textfeld 4"/>
        <xdr:cNvSpPr txBox="1">
          <a:spLocks noChangeArrowheads="1"/>
        </xdr:cNvSpPr>
      </xdr:nvSpPr>
      <xdr:spPr>
        <a:xfrm>
          <a:off x="1476375" y="9744075"/>
          <a:ext cx="1619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fld id="{8384e6d2-b597-415a-8d1f-010e597bd856}" type="TxLink">
            <a:rPr lang="en-US" cap="none" sz="1100" b="0" i="0" u="none" baseline="0">
              <a:solidFill>
                <a:srgbClr val="000000"/>
              </a:solidFill>
            </a:rPr>
            <a:t>Info: h/2 = 170,0 mm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n1055.de/din0/index.php/content/blogcategory/37/43/" TargetMode="External" /><Relationship Id="rId2" Type="http://schemas.openxmlformats.org/officeDocument/2006/relationships/hyperlink" Target="mailto:Info@DIN1055.de?subject=Gastspiel%20BD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81"/>
  <sheetViews>
    <sheetView showGridLines="0" workbookViewId="0" topLeftCell="A1">
      <selection activeCell="A4" sqref="A4"/>
    </sheetView>
  </sheetViews>
  <sheetFormatPr defaultColWidth="11.421875" defaultRowHeight="12.75" outlineLevelRow="2"/>
  <cols>
    <col min="1" max="1" width="11.421875" style="24" customWidth="1"/>
    <col min="2" max="2" width="11.57421875" style="24" bestFit="1" customWidth="1"/>
    <col min="3" max="3" width="11.421875" style="24" customWidth="1"/>
    <col min="4" max="4" width="12.28125" style="24" bestFit="1" customWidth="1"/>
    <col min="5" max="6" width="11.57421875" style="24" bestFit="1" customWidth="1"/>
    <col min="7" max="8" width="11.421875" style="24" customWidth="1"/>
    <col min="9" max="9" width="4.7109375" style="24" customWidth="1"/>
    <col min="10" max="10" width="12.00390625" style="24" bestFit="1" customWidth="1"/>
    <col min="11" max="13" width="11.421875" style="24" customWidth="1"/>
    <col min="14" max="14" width="4.7109375" style="24" customWidth="1"/>
    <col min="15" max="16" width="11.421875" style="24" customWidth="1"/>
    <col min="17" max="17" width="11.57421875" style="24" bestFit="1" customWidth="1"/>
    <col min="18" max="18" width="11.421875" style="24" customWidth="1"/>
    <col min="19" max="19" width="12.28125" style="24" bestFit="1" customWidth="1"/>
    <col min="20" max="21" width="11.57421875" style="24" bestFit="1" customWidth="1"/>
    <col min="22" max="16384" width="11.421875" style="24" customWidth="1"/>
  </cols>
  <sheetData>
    <row r="1" spans="1:25" ht="13.5" thickTop="1">
      <c r="A1" s="30" t="s">
        <v>232</v>
      </c>
      <c r="D1" s="29"/>
      <c r="E1" s="172" t="s">
        <v>280</v>
      </c>
      <c r="F1" s="171"/>
      <c r="G1" s="171"/>
      <c r="H1" s="171"/>
      <c r="I1" s="179"/>
      <c r="J1" s="188" t="s">
        <v>239</v>
      </c>
      <c r="K1" s="189"/>
      <c r="L1" s="189"/>
      <c r="M1" s="190"/>
      <c r="N1" s="29"/>
      <c r="O1" s="178" t="s">
        <v>234</v>
      </c>
      <c r="P1" s="173" t="s">
        <v>232</v>
      </c>
      <c r="Q1" s="95"/>
      <c r="R1" s="160"/>
      <c r="S1" s="160"/>
      <c r="T1" s="160"/>
      <c r="U1" s="160"/>
      <c r="V1" s="160"/>
      <c r="W1" s="160"/>
      <c r="X1" s="81"/>
      <c r="Y1" s="81"/>
    </row>
    <row r="2" spans="6:23" ht="12.75">
      <c r="F2" s="29"/>
      <c r="I2" s="179"/>
      <c r="J2" s="191"/>
      <c r="K2" s="192"/>
      <c r="L2" s="192"/>
      <c r="M2" s="193"/>
      <c r="N2" s="29"/>
      <c r="O2" s="29"/>
      <c r="P2" s="95"/>
      <c r="Q2" s="95"/>
      <c r="R2" s="95"/>
      <c r="S2" s="95"/>
      <c r="T2" s="95"/>
      <c r="U2" s="96"/>
      <c r="V2" s="95"/>
      <c r="W2" s="95"/>
    </row>
    <row r="3" spans="1:23" ht="12.75">
      <c r="A3" s="25" t="s">
        <v>207</v>
      </c>
      <c r="D3" s="51" t="s">
        <v>173</v>
      </c>
      <c r="E3" s="41"/>
      <c r="G3" s="25" t="s">
        <v>139</v>
      </c>
      <c r="I3" s="179"/>
      <c r="J3" s="191"/>
      <c r="K3" s="192"/>
      <c r="L3" s="192"/>
      <c r="M3" s="193"/>
      <c r="N3" s="29"/>
      <c r="O3" s="29"/>
      <c r="P3" s="97" t="s">
        <v>207</v>
      </c>
      <c r="Q3" s="95"/>
      <c r="R3" s="95"/>
      <c r="S3" s="98" t="s">
        <v>173</v>
      </c>
      <c r="T3" s="99"/>
      <c r="U3" s="95"/>
      <c r="V3" s="97" t="s">
        <v>139</v>
      </c>
      <c r="W3" s="95"/>
    </row>
    <row r="4" spans="1:23" ht="15.75">
      <c r="A4" s="162" t="s">
        <v>233</v>
      </c>
      <c r="B4" s="162">
        <v>340</v>
      </c>
      <c r="C4" s="29"/>
      <c r="D4" s="36" t="s">
        <v>169</v>
      </c>
      <c r="E4" s="161">
        <v>670</v>
      </c>
      <c r="G4" s="24" t="s">
        <v>181</v>
      </c>
      <c r="H4" s="68">
        <f>VLOOKUP($A$4&amp;$B$4,Profildaten,MATCH(G$4&amp;","&amp;$E$8,Profile!$4:$4,0)-1,0)</f>
        <v>3728.6790448435722</v>
      </c>
      <c r="I4" s="179"/>
      <c r="J4" s="194" t="s">
        <v>231</v>
      </c>
      <c r="K4" s="195"/>
      <c r="L4" s="195"/>
      <c r="M4" s="193"/>
      <c r="N4" s="29"/>
      <c r="O4" s="29"/>
      <c r="P4" s="100" t="s">
        <v>233</v>
      </c>
      <c r="Q4" s="100">
        <f aca="true" t="shared" si="0" ref="Q4:Q14">B4</f>
        <v>340</v>
      </c>
      <c r="R4" s="96"/>
      <c r="S4" s="100" t="s">
        <v>169</v>
      </c>
      <c r="T4" s="101">
        <f aca="true" t="shared" si="1" ref="T4:T10">E4</f>
        <v>670</v>
      </c>
      <c r="U4" s="95"/>
      <c r="V4" s="95" t="s">
        <v>181</v>
      </c>
      <c r="W4" s="102">
        <f aca="true" t="shared" si="2" ref="W4:W9">H4</f>
        <v>3728.6790448435722</v>
      </c>
    </row>
    <row r="5" spans="1:23" ht="15.75">
      <c r="A5" s="36" t="s">
        <v>2</v>
      </c>
      <c r="B5" s="64">
        <f>VLOOKUP($A$4&amp;$B$4,Profildaten,MATCH(A$5,Profile!$4:$4,0)-1,0)</f>
        <v>340</v>
      </c>
      <c r="C5" s="28"/>
      <c r="D5" s="36" t="s">
        <v>170</v>
      </c>
      <c r="E5" s="163">
        <v>120</v>
      </c>
      <c r="G5" s="41" t="s">
        <v>180</v>
      </c>
      <c r="H5" s="69">
        <f>VLOOKUP($A$4&amp;$B$4,Profildaten,MATCH(G$5&amp;","&amp;$E$8,Profile!$4:$4,0)-1,0)</f>
        <v>536.3730481283422</v>
      </c>
      <c r="I5" s="179"/>
      <c r="J5" s="196" t="s">
        <v>235</v>
      </c>
      <c r="K5" s="195"/>
      <c r="L5" s="195"/>
      <c r="M5" s="193"/>
      <c r="N5" s="29"/>
      <c r="O5" s="29"/>
      <c r="P5" s="100" t="s">
        <v>2</v>
      </c>
      <c r="Q5" s="103">
        <f t="shared" si="0"/>
        <v>340</v>
      </c>
      <c r="R5" s="104"/>
      <c r="S5" s="100" t="s">
        <v>170</v>
      </c>
      <c r="T5" s="105">
        <f t="shared" si="1"/>
        <v>120</v>
      </c>
      <c r="U5" s="95"/>
      <c r="V5" s="99" t="s">
        <v>180</v>
      </c>
      <c r="W5" s="106">
        <f t="shared" si="2"/>
        <v>536.3730481283422</v>
      </c>
    </row>
    <row r="6" spans="1:23" ht="15.75">
      <c r="A6" s="36" t="s">
        <v>1</v>
      </c>
      <c r="B6" s="64">
        <f>VLOOKUP($A$4&amp;$B$4,Profildaten,MATCH(A$6,Profile!$4:$4,0)-1,0)</f>
        <v>300</v>
      </c>
      <c r="C6" s="28"/>
      <c r="D6" s="36" t="s">
        <v>171</v>
      </c>
      <c r="E6" s="163">
        <v>125</v>
      </c>
      <c r="F6" s="29"/>
      <c r="G6" s="41" t="s">
        <v>182</v>
      </c>
      <c r="H6" s="69">
        <f>VLOOKUP($A$4&amp;$B$4,Profildaten,MATCH(G$6&amp;","&amp;$E$8&amp;"v",Profile!$4:$4,0)-1,0)</f>
        <v>215.06632929247942</v>
      </c>
      <c r="I6" s="179"/>
      <c r="J6" s="196" t="s">
        <v>236</v>
      </c>
      <c r="K6" s="195"/>
      <c r="L6" s="195"/>
      <c r="M6" s="193"/>
      <c r="N6" s="29"/>
      <c r="O6" s="29"/>
      <c r="P6" s="100" t="s">
        <v>1</v>
      </c>
      <c r="Q6" s="103">
        <f t="shared" si="0"/>
        <v>300</v>
      </c>
      <c r="R6" s="104"/>
      <c r="S6" s="100" t="s">
        <v>171</v>
      </c>
      <c r="T6" s="105">
        <f t="shared" si="1"/>
        <v>125</v>
      </c>
      <c r="U6" s="96"/>
      <c r="V6" s="99" t="s">
        <v>182</v>
      </c>
      <c r="W6" s="106">
        <f t="shared" si="2"/>
        <v>215.06632929247942</v>
      </c>
    </row>
    <row r="7" spans="1:23" s="29" customFormat="1" ht="15.75">
      <c r="A7" s="41" t="s">
        <v>13</v>
      </c>
      <c r="B7" s="64">
        <f>VLOOKUP($A$4&amp;$B$4,Profildaten,MATCH(A$7,Profile!$4:$4,0)-1,0)</f>
        <v>21.5</v>
      </c>
      <c r="C7" s="28"/>
      <c r="D7" s="24"/>
      <c r="E7" s="24"/>
      <c r="F7" s="24"/>
      <c r="G7" s="41" t="s">
        <v>199</v>
      </c>
      <c r="H7" s="69">
        <f>VLOOKUP($A$4&amp;$B$4,Profildaten,MATCH(G$6&amp;","&amp;$E$8&amp;"r",Profile!$4:$4,0)-1,0)</f>
        <v>176.18181818181816</v>
      </c>
      <c r="I7" s="180"/>
      <c r="J7" s="196" t="s">
        <v>245</v>
      </c>
      <c r="K7" s="195"/>
      <c r="L7" s="195"/>
      <c r="M7" s="193"/>
      <c r="P7" s="99" t="s">
        <v>13</v>
      </c>
      <c r="Q7" s="103">
        <f t="shared" si="0"/>
        <v>21.5</v>
      </c>
      <c r="R7" s="104"/>
      <c r="S7" s="95"/>
      <c r="T7" s="174"/>
      <c r="U7" s="95"/>
      <c r="V7" s="99" t="s">
        <v>199</v>
      </c>
      <c r="W7" s="106">
        <f t="shared" si="2"/>
        <v>176.18181818181816</v>
      </c>
    </row>
    <row r="8" spans="1:23" ht="15.75">
      <c r="A8" s="41" t="s">
        <v>19</v>
      </c>
      <c r="B8" s="65">
        <f>VLOOKUP($A$4&amp;$B$4,Profildaten,MATCH(A$8,Profile!$4:$4,0)-1,0)</f>
        <v>2156.470588235294</v>
      </c>
      <c r="C8" s="28"/>
      <c r="D8" s="41" t="s">
        <v>172</v>
      </c>
      <c r="E8" s="164" t="s">
        <v>250</v>
      </c>
      <c r="F8" s="29"/>
      <c r="G8" s="24" t="s">
        <v>145</v>
      </c>
      <c r="H8" s="70">
        <f>VLOOKUP($A$4&amp;$B$4,Profildaten,MATCH(G$8,Profile!$4:$4,0)-1,0)</f>
        <v>2408.1061082736264</v>
      </c>
      <c r="I8" s="179"/>
      <c r="J8" s="196" t="s">
        <v>237</v>
      </c>
      <c r="K8" s="195"/>
      <c r="L8" s="195"/>
      <c r="M8" s="193"/>
      <c r="N8" s="29"/>
      <c r="O8" s="29"/>
      <c r="P8" s="99" t="s">
        <v>19</v>
      </c>
      <c r="Q8" s="107">
        <f t="shared" si="0"/>
        <v>2156.470588235294</v>
      </c>
      <c r="R8" s="104"/>
      <c r="S8" s="99" t="s">
        <v>172</v>
      </c>
      <c r="T8" s="175" t="str">
        <f t="shared" si="1"/>
        <v>S235</v>
      </c>
      <c r="U8" s="96"/>
      <c r="V8" s="95" t="s">
        <v>145</v>
      </c>
      <c r="W8" s="108">
        <f t="shared" si="2"/>
        <v>2408.1061082736264</v>
      </c>
    </row>
    <row r="9" spans="1:23" ht="15.75">
      <c r="A9" s="41" t="s">
        <v>24</v>
      </c>
      <c r="B9" s="65">
        <f>VLOOKUP($A$4&amp;$B$4,Profildaten,MATCH(A$9,Profile!$4:$4,0)-1,0)</f>
        <v>646</v>
      </c>
      <c r="C9" s="27"/>
      <c r="D9" s="41" t="s">
        <v>178</v>
      </c>
      <c r="E9" s="165">
        <v>1.1</v>
      </c>
      <c r="F9" s="29"/>
      <c r="G9" s="24" t="s">
        <v>146</v>
      </c>
      <c r="H9" s="70">
        <f>VLOOKUP($A$4&amp;$B$4,Profildaten,MATCH(G$9,Profile!$4:$4,0)-1,0)</f>
        <v>985.7206759238641</v>
      </c>
      <c r="I9" s="179"/>
      <c r="J9" s="195"/>
      <c r="K9" s="195"/>
      <c r="L9" s="195"/>
      <c r="M9" s="193"/>
      <c r="N9" s="29"/>
      <c r="O9" s="29"/>
      <c r="P9" s="99" t="s">
        <v>24</v>
      </c>
      <c r="Q9" s="107">
        <f t="shared" si="0"/>
        <v>646</v>
      </c>
      <c r="R9" s="109"/>
      <c r="S9" s="99" t="s">
        <v>178</v>
      </c>
      <c r="T9" s="110">
        <f t="shared" si="1"/>
        <v>1.1</v>
      </c>
      <c r="U9" s="96"/>
      <c r="V9" s="95" t="s">
        <v>146</v>
      </c>
      <c r="W9" s="108">
        <f t="shared" si="2"/>
        <v>985.7206759238641</v>
      </c>
    </row>
    <row r="10" spans="1:23" ht="15.75">
      <c r="A10" s="41" t="s">
        <v>21</v>
      </c>
      <c r="B10" s="66">
        <f>VLOOKUP($A$4&amp;$B$4,Profildaten,MATCH(A$10&amp;"_",Profile!$4:$4,0)-1,0)</f>
        <v>14.646302766844276</v>
      </c>
      <c r="D10" s="41" t="s">
        <v>51</v>
      </c>
      <c r="E10" s="162">
        <v>210000</v>
      </c>
      <c r="F10" s="29" t="s">
        <v>147</v>
      </c>
      <c r="I10" s="179"/>
      <c r="J10" s="195"/>
      <c r="K10" s="195"/>
      <c r="L10" s="195"/>
      <c r="M10" s="193"/>
      <c r="N10" s="29"/>
      <c r="O10" s="29"/>
      <c r="P10" s="99" t="s">
        <v>21</v>
      </c>
      <c r="Q10" s="111">
        <f t="shared" si="0"/>
        <v>14.646302766844276</v>
      </c>
      <c r="R10" s="95"/>
      <c r="S10" s="99" t="s">
        <v>51</v>
      </c>
      <c r="T10" s="101">
        <f t="shared" si="1"/>
        <v>210000</v>
      </c>
      <c r="U10" s="96" t="s">
        <v>147</v>
      </c>
      <c r="V10" s="95"/>
      <c r="W10" s="95"/>
    </row>
    <row r="11" spans="1:23" ht="15.75">
      <c r="A11" s="41" t="s">
        <v>25</v>
      </c>
      <c r="B11" s="66">
        <f>VLOOKUP($A$4&amp;$B$4,Profildaten,MATCH(A$11&amp;"_",Profile!$4:$4,0)-1,0)</f>
        <v>7.529977279630299</v>
      </c>
      <c r="E11" s="29"/>
      <c r="F11" s="29"/>
      <c r="I11" s="179"/>
      <c r="J11" s="194" t="s">
        <v>238</v>
      </c>
      <c r="K11" s="195"/>
      <c r="L11" s="195"/>
      <c r="M11" s="193"/>
      <c r="N11" s="29"/>
      <c r="O11" s="29"/>
      <c r="P11" s="99" t="s">
        <v>25</v>
      </c>
      <c r="Q11" s="111">
        <f t="shared" si="0"/>
        <v>7.529977279630299</v>
      </c>
      <c r="R11" s="95"/>
      <c r="S11" s="95"/>
      <c r="T11" s="96"/>
      <c r="U11" s="96"/>
      <c r="V11" s="95"/>
      <c r="W11" s="95"/>
    </row>
    <row r="12" spans="1:23" ht="12.75">
      <c r="A12" s="41" t="s">
        <v>10</v>
      </c>
      <c r="B12" s="67">
        <f>VLOOKUP($A$4&amp;$B$4,Profildaten,MATCH("g",Profile!$4:$4,0)-1,0)</f>
        <v>1.3415476480093438</v>
      </c>
      <c r="D12" s="25" t="s">
        <v>174</v>
      </c>
      <c r="E12" s="94" t="s">
        <v>1</v>
      </c>
      <c r="F12" s="28" t="s">
        <v>9</v>
      </c>
      <c r="I12" s="179"/>
      <c r="J12" s="196" t="s">
        <v>240</v>
      </c>
      <c r="K12" s="195"/>
      <c r="L12" s="195"/>
      <c r="M12" s="193"/>
      <c r="N12" s="29"/>
      <c r="O12" s="29"/>
      <c r="P12" s="99" t="s">
        <v>10</v>
      </c>
      <c r="Q12" s="112">
        <f t="shared" si="0"/>
        <v>1.3415476480093438</v>
      </c>
      <c r="R12" s="95"/>
      <c r="S12" s="97" t="s">
        <v>174</v>
      </c>
      <c r="T12" s="113" t="s">
        <v>1</v>
      </c>
      <c r="U12" s="104" t="s">
        <v>9</v>
      </c>
      <c r="V12" s="95"/>
      <c r="W12" s="95"/>
    </row>
    <row r="13" spans="1:23" ht="15.75">
      <c r="A13" s="41" t="s">
        <v>18</v>
      </c>
      <c r="B13" s="36">
        <f>VLOOKUP($A$4&amp;$B$4,Profildaten,MATCH(A$13,Profile!$4:$4,0)-1,0)</f>
        <v>36660</v>
      </c>
      <c r="C13" s="36" t="s">
        <v>148</v>
      </c>
      <c r="D13" s="24" t="s">
        <v>175</v>
      </c>
      <c r="E13" s="166">
        <v>1</v>
      </c>
      <c r="F13" s="167">
        <v>2</v>
      </c>
      <c r="G13" s="38">
        <f>E13*F13</f>
        <v>2</v>
      </c>
      <c r="I13" s="179"/>
      <c r="J13" s="196" t="s">
        <v>241</v>
      </c>
      <c r="K13" s="195"/>
      <c r="L13" s="195"/>
      <c r="M13" s="193"/>
      <c r="N13" s="29"/>
      <c r="O13" s="29"/>
      <c r="P13" s="99" t="s">
        <v>18</v>
      </c>
      <c r="Q13" s="100">
        <f t="shared" si="0"/>
        <v>36660</v>
      </c>
      <c r="R13" s="100" t="s">
        <v>148</v>
      </c>
      <c r="S13" s="95" t="s">
        <v>175</v>
      </c>
      <c r="T13" s="114">
        <f aca="true" t="shared" si="3" ref="T13:V14">E13</f>
        <v>1</v>
      </c>
      <c r="U13" s="115">
        <f t="shared" si="3"/>
        <v>2</v>
      </c>
      <c r="V13" s="116">
        <f t="shared" si="3"/>
        <v>2</v>
      </c>
      <c r="W13" s="95"/>
    </row>
    <row r="14" spans="1:23" ht="15.75">
      <c r="A14" s="41" t="s">
        <v>23</v>
      </c>
      <c r="B14" s="36">
        <f>VLOOKUP($A$4&amp;$B$4,Profildaten,MATCH(A$14,Profile!$4:$4,0)-1,0)</f>
        <v>9690</v>
      </c>
      <c r="C14" s="36" t="s">
        <v>148</v>
      </c>
      <c r="D14" s="24" t="s">
        <v>176</v>
      </c>
      <c r="E14" s="166">
        <v>1</v>
      </c>
      <c r="F14" s="167">
        <v>2</v>
      </c>
      <c r="G14" s="38">
        <f>E14*F14</f>
        <v>2</v>
      </c>
      <c r="I14" s="179"/>
      <c r="J14" s="196" t="s">
        <v>242</v>
      </c>
      <c r="K14" s="195"/>
      <c r="L14" s="195"/>
      <c r="M14" s="193"/>
      <c r="N14" s="29"/>
      <c r="O14" s="29"/>
      <c r="P14" s="99" t="s">
        <v>23</v>
      </c>
      <c r="Q14" s="100">
        <f t="shared" si="0"/>
        <v>9690</v>
      </c>
      <c r="R14" s="100" t="s">
        <v>148</v>
      </c>
      <c r="S14" s="95" t="s">
        <v>176</v>
      </c>
      <c r="T14" s="114">
        <f t="shared" si="3"/>
        <v>1</v>
      </c>
      <c r="U14" s="115">
        <f t="shared" si="3"/>
        <v>2</v>
      </c>
      <c r="V14" s="115">
        <f t="shared" si="3"/>
        <v>2</v>
      </c>
      <c r="W14" s="95"/>
    </row>
    <row r="15" spans="9:23" ht="12.75">
      <c r="I15" s="179"/>
      <c r="J15" s="196" t="s">
        <v>243</v>
      </c>
      <c r="K15" s="195"/>
      <c r="L15" s="195"/>
      <c r="M15" s="193"/>
      <c r="N15" s="29"/>
      <c r="O15" s="29"/>
      <c r="P15" s="95"/>
      <c r="Q15" s="95"/>
      <c r="R15" s="95"/>
      <c r="S15" s="95"/>
      <c r="T15" s="95"/>
      <c r="U15" s="95"/>
      <c r="V15" s="95"/>
      <c r="W15" s="95"/>
    </row>
    <row r="16" spans="1:23" ht="15.75">
      <c r="A16" s="25" t="s">
        <v>186</v>
      </c>
      <c r="I16" s="179"/>
      <c r="J16" s="195" t="s">
        <v>244</v>
      </c>
      <c r="K16" s="195"/>
      <c r="L16" s="195"/>
      <c r="M16" s="193"/>
      <c r="N16" s="29"/>
      <c r="O16" s="29"/>
      <c r="P16" s="97" t="s">
        <v>186</v>
      </c>
      <c r="Q16" s="95"/>
      <c r="R16" s="95"/>
      <c r="S16" s="95"/>
      <c r="T16" s="95"/>
      <c r="U16" s="95"/>
      <c r="V16" s="95"/>
      <c r="W16" s="95"/>
    </row>
    <row r="17" spans="1:23" ht="15.75">
      <c r="A17" s="24" t="s">
        <v>177</v>
      </c>
      <c r="C17" s="71">
        <f>PI()^2*(E10*B13*10^-5)/(E9*G13^2)</f>
        <v>172686.673732333</v>
      </c>
      <c r="E17" s="53" t="s">
        <v>179</v>
      </c>
      <c r="G17" s="71">
        <f>PI()^2*(E10*B14*10^-5)/(E9*G14^2)</f>
        <v>45644.677263128935</v>
      </c>
      <c r="I17" s="179"/>
      <c r="J17" s="195"/>
      <c r="K17" s="195"/>
      <c r="L17" s="195"/>
      <c r="M17" s="193"/>
      <c r="P17" s="95" t="s">
        <v>177</v>
      </c>
      <c r="Q17" s="95"/>
      <c r="R17" s="117">
        <f>C17</f>
        <v>172686.673732333</v>
      </c>
      <c r="S17" s="174"/>
      <c r="T17" s="118" t="s">
        <v>179</v>
      </c>
      <c r="U17" s="95"/>
      <c r="V17" s="117">
        <f>G17</f>
        <v>45644.677263128935</v>
      </c>
      <c r="W17" s="174"/>
    </row>
    <row r="18" spans="1:23" ht="15.75">
      <c r="A18" s="24" t="s">
        <v>188</v>
      </c>
      <c r="C18" s="49">
        <f>SQRT($H$4/C17)</f>
        <v>0.146942724816193</v>
      </c>
      <c r="D18" s="24" t="str">
        <f>IF(C18&lt;=0.2,"≤ 0,2","&gt; 0,2")</f>
        <v>≤ 0,2</v>
      </c>
      <c r="E18" s="53" t="s">
        <v>187</v>
      </c>
      <c r="G18" s="49">
        <f>SQRT($H$4/G17)</f>
        <v>0.28581329758656454</v>
      </c>
      <c r="H18" s="24" t="str">
        <f>IF(G18&lt;=0.2,"≤ 0,2","&gt; 0,2")</f>
        <v>&gt; 0,2</v>
      </c>
      <c r="I18" s="179"/>
      <c r="J18" s="195"/>
      <c r="K18" s="195"/>
      <c r="L18" s="195"/>
      <c r="M18" s="193"/>
      <c r="P18" s="95" t="s">
        <v>188</v>
      </c>
      <c r="Q18" s="95"/>
      <c r="R18" s="119">
        <f>C18</f>
        <v>0.146942724816193</v>
      </c>
      <c r="S18" s="174" t="str">
        <f>D18</f>
        <v>≤ 0,2</v>
      </c>
      <c r="T18" s="118" t="s">
        <v>187</v>
      </c>
      <c r="U18" s="95"/>
      <c r="V18" s="119">
        <f>G18</f>
        <v>0.28581329758656454</v>
      </c>
      <c r="W18" s="174" t="str">
        <f>H18</f>
        <v>&gt; 0,2</v>
      </c>
    </row>
    <row r="19" spans="9:23" ht="12.75">
      <c r="I19" s="179"/>
      <c r="J19" s="195"/>
      <c r="K19" s="194" t="s">
        <v>230</v>
      </c>
      <c r="L19" s="195"/>
      <c r="M19" s="193"/>
      <c r="P19" s="95"/>
      <c r="Q19" s="95"/>
      <c r="R19" s="95"/>
      <c r="S19" s="95"/>
      <c r="T19" s="95"/>
      <c r="U19" s="95"/>
      <c r="V19" s="95"/>
      <c r="W19" s="95"/>
    </row>
    <row r="20" spans="1:23" ht="12.75">
      <c r="A20" s="25" t="s">
        <v>183</v>
      </c>
      <c r="C20" s="52"/>
      <c r="G20" s="32" t="s">
        <v>184</v>
      </c>
      <c r="H20" s="77">
        <f>B5/B6</f>
        <v>1.1333333333333333</v>
      </c>
      <c r="I20" s="179"/>
      <c r="J20" s="195"/>
      <c r="K20" s="195" t="s">
        <v>168</v>
      </c>
      <c r="L20" s="197" t="str">
        <f>IF(AND(H20&gt;1.2,B7&lt;=40),"a",IF(AND(H20&gt;1.2,AND(40&lt;B7,B7&lt;=80)),"b",IF(AND(H20&lt;=1.2,B7&lt;=80),"b","d")))</f>
        <v>b</v>
      </c>
      <c r="M20" s="193"/>
      <c r="P20" s="97" t="s">
        <v>183</v>
      </c>
      <c r="Q20" s="95"/>
      <c r="R20" s="120"/>
      <c r="S20" s="95"/>
      <c r="T20" s="95"/>
      <c r="U20" s="95"/>
      <c r="V20" s="121" t="s">
        <v>184</v>
      </c>
      <c r="W20" s="122">
        <f>H20</f>
        <v>1.1333333333333333</v>
      </c>
    </row>
    <row r="21" spans="1:23" ht="12.75">
      <c r="A21" s="24" t="s">
        <v>168</v>
      </c>
      <c r="B21" s="26" t="str">
        <f>IF(AND(H20&gt;1.2,B7&lt;=40),"a",IF(B7&gt;80,"d","b"))</f>
        <v>b</v>
      </c>
      <c r="E21" s="53" t="s">
        <v>168</v>
      </c>
      <c r="F21" s="26" t="str">
        <f>IF(AND(H20&gt;1.2,E3&lt;=40),"b",IF(E3&gt;80,"d","c"))</f>
        <v>c</v>
      </c>
      <c r="I21" s="179"/>
      <c r="J21" s="195"/>
      <c r="K21" s="198" t="s">
        <v>3</v>
      </c>
      <c r="L21" s="199">
        <f>IF(L20="a",0.21,IF(L20="b",0.34,IF(L20="c",0.49,0.76)))</f>
        <v>0.34</v>
      </c>
      <c r="M21" s="193"/>
      <c r="P21" s="95" t="s">
        <v>168</v>
      </c>
      <c r="Q21" s="123" t="str">
        <f>B21</f>
        <v>b</v>
      </c>
      <c r="R21" s="95"/>
      <c r="S21" s="95"/>
      <c r="T21" s="118" t="s">
        <v>168</v>
      </c>
      <c r="U21" s="123" t="str">
        <f>F21</f>
        <v>c</v>
      </c>
      <c r="V21" s="95"/>
      <c r="W21" s="95"/>
    </row>
    <row r="22" spans="1:23" ht="12.75">
      <c r="A22" s="34" t="s">
        <v>3</v>
      </c>
      <c r="B22" s="42">
        <f>IF(B21="a",0.21,IF(B21="b",0.34,IF(B21="c",0.49,0.76)))</f>
        <v>0.34</v>
      </c>
      <c r="E22" s="54" t="s">
        <v>3</v>
      </c>
      <c r="F22" s="42">
        <f>IF(F21="a",0.21,IF(F21="b",0.34,IF(F21="c",0.49,0.76)))</f>
        <v>0.49</v>
      </c>
      <c r="I22" s="179"/>
      <c r="J22" s="195"/>
      <c r="K22" s="195" t="s">
        <v>8</v>
      </c>
      <c r="L22" s="199">
        <f>0.5*(1+B22*(C18-0.2)+C18^2)</f>
        <v>0.5017763454069565</v>
      </c>
      <c r="M22" s="193"/>
      <c r="P22" s="124" t="s">
        <v>3</v>
      </c>
      <c r="Q22" s="125">
        <f>B22</f>
        <v>0.34</v>
      </c>
      <c r="R22" s="95"/>
      <c r="S22" s="95"/>
      <c r="T22" s="126" t="s">
        <v>3</v>
      </c>
      <c r="U22" s="125">
        <f>F22</f>
        <v>0.49</v>
      </c>
      <c r="V22" s="95"/>
      <c r="W22" s="95"/>
    </row>
    <row r="23" spans="1:23" ht="15.75">
      <c r="A23" s="33" t="s">
        <v>190</v>
      </c>
      <c r="B23" s="42">
        <f>IF(D18="≤ 0,2",1,1/((0.5*(1+B22*(C18-0.2)+C18^2))+SQRT((0.5*(1+B22*(C18-0.2)+C18^2))^2-C18^2)))</f>
        <v>1</v>
      </c>
      <c r="E23" s="55" t="s">
        <v>189</v>
      </c>
      <c r="F23" s="42">
        <f>IF(H18="≤ 0,2",1,1/((0.5*(1+F22*(G18-0.2)+G18^2))+SQRT((0.5*(1+F22*(G18-0.2)+G18^2))^2-G18^2)))</f>
        <v>0.9563777118276116</v>
      </c>
      <c r="I23" s="179"/>
      <c r="J23" s="195"/>
      <c r="K23" s="198" t="s">
        <v>8</v>
      </c>
      <c r="L23" s="199">
        <f>1/(L22+SQRT(L22^2-C18^2))</f>
        <v>1.0187918502888889</v>
      </c>
      <c r="M23" s="193"/>
      <c r="P23" s="127" t="s">
        <v>190</v>
      </c>
      <c r="Q23" s="125">
        <f>B23</f>
        <v>1</v>
      </c>
      <c r="R23" s="95"/>
      <c r="S23" s="95"/>
      <c r="T23" s="128" t="s">
        <v>189</v>
      </c>
      <c r="U23" s="125">
        <f>F23</f>
        <v>0.9563777118276116</v>
      </c>
      <c r="V23" s="95"/>
      <c r="W23" s="95"/>
    </row>
    <row r="24" spans="9:23" ht="12.75" outlineLevel="1">
      <c r="I24" s="179"/>
      <c r="J24" s="195"/>
      <c r="K24" s="195"/>
      <c r="L24" s="195"/>
      <c r="M24" s="193"/>
      <c r="P24" s="95"/>
      <c r="Q24" s="95"/>
      <c r="R24" s="95"/>
      <c r="S24" s="95"/>
      <c r="T24" s="95"/>
      <c r="U24" s="95"/>
      <c r="V24" s="95"/>
      <c r="W24" s="95"/>
    </row>
    <row r="25" spans="1:23" ht="12.75" outlineLevel="1">
      <c r="A25" s="78" t="s">
        <v>208</v>
      </c>
      <c r="B25" s="79"/>
      <c r="C25" s="79"/>
      <c r="D25" s="79"/>
      <c r="E25" s="79"/>
      <c r="F25" s="79"/>
      <c r="G25" s="79"/>
      <c r="H25" s="79"/>
      <c r="I25" s="179"/>
      <c r="J25" s="195"/>
      <c r="K25" s="195"/>
      <c r="L25" s="195"/>
      <c r="M25" s="193"/>
      <c r="P25" s="129" t="s">
        <v>208</v>
      </c>
      <c r="Q25" s="130"/>
      <c r="R25" s="130"/>
      <c r="S25" s="130"/>
      <c r="T25" s="130"/>
      <c r="U25" s="130"/>
      <c r="V25" s="130"/>
      <c r="W25" s="130"/>
    </row>
    <row r="26" spans="1:23" ht="15.75" outlineLevel="1">
      <c r="A26" s="56" t="s">
        <v>191</v>
      </c>
      <c r="B26" s="49">
        <f>H8/B8</f>
        <v>1.1166885935802413</v>
      </c>
      <c r="E26" s="55" t="s">
        <v>192</v>
      </c>
      <c r="F26" s="49">
        <f>H9/B9</f>
        <v>1.5258833992629475</v>
      </c>
      <c r="I26" s="179"/>
      <c r="J26" s="195"/>
      <c r="K26" s="195"/>
      <c r="L26" s="195"/>
      <c r="M26" s="193"/>
      <c r="P26" s="131" t="s">
        <v>191</v>
      </c>
      <c r="Q26" s="119">
        <f>B26</f>
        <v>1.1166885935802413</v>
      </c>
      <c r="R26" s="119"/>
      <c r="S26" s="95"/>
      <c r="T26" s="128" t="s">
        <v>192</v>
      </c>
      <c r="U26" s="119">
        <f>F26</f>
        <v>1.5258833992629475</v>
      </c>
      <c r="V26" s="119"/>
      <c r="W26" s="95"/>
    </row>
    <row r="27" spans="1:23" ht="15.75" outlineLevel="1">
      <c r="A27" s="56" t="s">
        <v>193</v>
      </c>
      <c r="B27" s="168">
        <v>1.1</v>
      </c>
      <c r="E27" s="55" t="s">
        <v>194</v>
      </c>
      <c r="F27" s="168">
        <v>1.1</v>
      </c>
      <c r="I27" s="179"/>
      <c r="J27" s="195"/>
      <c r="K27" s="195"/>
      <c r="L27" s="195"/>
      <c r="M27" s="193"/>
      <c r="P27" s="131" t="s">
        <v>193</v>
      </c>
      <c r="Q27" s="132">
        <f>B27</f>
        <v>1.1</v>
      </c>
      <c r="R27" s="119"/>
      <c r="S27" s="95"/>
      <c r="T27" s="128" t="s">
        <v>194</v>
      </c>
      <c r="U27" s="132">
        <f>F27</f>
        <v>1.1</v>
      </c>
      <c r="V27" s="119"/>
      <c r="W27" s="95"/>
    </row>
    <row r="28" spans="1:23" ht="15.75" outlineLevel="1">
      <c r="A28" s="24" t="s">
        <v>195</v>
      </c>
      <c r="B28" s="49">
        <f>MIN(C18*(2*B27-4)+(B26-1),0.8)</f>
        <v>-0.14780831108890607</v>
      </c>
      <c r="C28" s="24" t="s">
        <v>216</v>
      </c>
      <c r="E28" s="53" t="s">
        <v>196</v>
      </c>
      <c r="F28" s="49">
        <f>MIN(G18*(2*F27-4)+(F26-1),0.8)</f>
        <v>0.011419463607131308</v>
      </c>
      <c r="G28" s="24" t="s">
        <v>216</v>
      </c>
      <c r="I28" s="179"/>
      <c r="J28" s="195"/>
      <c r="K28" s="195"/>
      <c r="L28" s="195"/>
      <c r="M28" s="193"/>
      <c r="P28" s="95" t="s">
        <v>195</v>
      </c>
      <c r="Q28" s="119">
        <f>B28</f>
        <v>-0.14780831108890607</v>
      </c>
      <c r="R28" s="119" t="str">
        <f>C28</f>
        <v>≤ 0,8</v>
      </c>
      <c r="S28" s="95"/>
      <c r="T28" s="118" t="s">
        <v>196</v>
      </c>
      <c r="U28" s="119">
        <f>F28</f>
        <v>0.011419463607131308</v>
      </c>
      <c r="V28" s="119" t="str">
        <f>G28</f>
        <v>≤ 0,8</v>
      </c>
      <c r="W28" s="95"/>
    </row>
    <row r="29" spans="1:23" ht="15.75" outlineLevel="1">
      <c r="A29" s="24" t="s">
        <v>197</v>
      </c>
      <c r="B29" s="49">
        <f>MIN(1-E4/(B23*$H$4)*B28,1.5)</f>
        <v>1.026559424192468</v>
      </c>
      <c r="C29" s="24" t="s">
        <v>217</v>
      </c>
      <c r="E29" s="53" t="s">
        <v>198</v>
      </c>
      <c r="F29" s="49">
        <f>MIN(1-E4/(F23*$H$4)*F28,1.5)</f>
        <v>0.9978544627496707</v>
      </c>
      <c r="G29" s="24" t="s">
        <v>217</v>
      </c>
      <c r="I29" s="179"/>
      <c r="J29" s="195"/>
      <c r="K29" s="195"/>
      <c r="L29" s="195"/>
      <c r="M29" s="193"/>
      <c r="P29" s="95" t="s">
        <v>197</v>
      </c>
      <c r="Q29" s="119">
        <f>B29</f>
        <v>1.026559424192468</v>
      </c>
      <c r="R29" s="119" t="str">
        <f>C29</f>
        <v>≤ 1,5</v>
      </c>
      <c r="S29" s="95"/>
      <c r="T29" s="118" t="s">
        <v>198</v>
      </c>
      <c r="U29" s="119">
        <f>F29</f>
        <v>0.9978544627496707</v>
      </c>
      <c r="V29" s="119" t="str">
        <f>G29</f>
        <v>≤ 1,5</v>
      </c>
      <c r="W29" s="95"/>
    </row>
    <row r="30" spans="9:23" ht="12.75" outlineLevel="1">
      <c r="I30" s="179"/>
      <c r="J30" s="195"/>
      <c r="K30" s="195"/>
      <c r="L30" s="195"/>
      <c r="M30" s="193"/>
      <c r="P30" s="95"/>
      <c r="Q30" s="95"/>
      <c r="R30" s="95"/>
      <c r="S30" s="95"/>
      <c r="T30" s="95"/>
      <c r="U30" s="95"/>
      <c r="V30" s="95"/>
      <c r="W30" s="95"/>
    </row>
    <row r="31" spans="1:23" ht="15.75" outlineLevel="1">
      <c r="A31" s="25" t="s">
        <v>210</v>
      </c>
      <c r="E31" s="24" t="s">
        <v>200</v>
      </c>
      <c r="I31" s="179"/>
      <c r="J31" s="195"/>
      <c r="K31" s="195"/>
      <c r="L31" s="195"/>
      <c r="M31" s="193"/>
      <c r="P31" s="97" t="s">
        <v>210</v>
      </c>
      <c r="Q31" s="95"/>
      <c r="R31" s="95"/>
      <c r="S31" s="95"/>
      <c r="T31" s="95" t="s">
        <v>200</v>
      </c>
      <c r="U31" s="95"/>
      <c r="V31" s="95"/>
      <c r="W31" s="95"/>
    </row>
    <row r="32" spans="9:23" ht="12.75" outlineLevel="1">
      <c r="I32" s="179"/>
      <c r="J32" s="195"/>
      <c r="K32" s="195"/>
      <c r="L32" s="195"/>
      <c r="M32" s="193"/>
      <c r="P32" s="95"/>
      <c r="Q32" s="95"/>
      <c r="R32" s="95"/>
      <c r="S32" s="95"/>
      <c r="T32" s="95"/>
      <c r="U32" s="95"/>
      <c r="V32" s="95"/>
      <c r="W32" s="95"/>
    </row>
    <row r="33" spans="2:23" ht="15.75" outlineLevel="1">
      <c r="B33" s="59" t="s">
        <v>203</v>
      </c>
      <c r="C33" s="60"/>
      <c r="D33" s="60"/>
      <c r="E33" s="61"/>
      <c r="I33" s="179"/>
      <c r="J33" s="195"/>
      <c r="K33" s="195"/>
      <c r="L33" s="195"/>
      <c r="M33" s="193"/>
      <c r="P33" s="95"/>
      <c r="Q33" s="133" t="s">
        <v>203</v>
      </c>
      <c r="R33" s="134"/>
      <c r="S33" s="134"/>
      <c r="T33" s="135"/>
      <c r="U33" s="95"/>
      <c r="V33" s="95"/>
      <c r="W33" s="95"/>
    </row>
    <row r="34" spans="9:23" ht="12.75" outlineLevel="1">
      <c r="I34" s="179"/>
      <c r="J34" s="200" t="s">
        <v>228</v>
      </c>
      <c r="K34" s="195"/>
      <c r="L34" s="195"/>
      <c r="M34" s="193"/>
      <c r="P34" s="95"/>
      <c r="Q34" s="95"/>
      <c r="R34" s="95"/>
      <c r="S34" s="95"/>
      <c r="T34" s="95"/>
      <c r="U34" s="95"/>
      <c r="V34" s="95"/>
      <c r="W34" s="95"/>
    </row>
    <row r="35" spans="1:23" ht="12.75" outlineLevel="2">
      <c r="A35" s="58" t="str">
        <f>FIXED(E4,0)&amp;"/("&amp;FIXED(MIN(B23,F23),2)&amp;"*"&amp;FIXED(H4,0)&amp;")"</f>
        <v>670/(0,96*3.729)</v>
      </c>
      <c r="B35" s="58"/>
      <c r="C35" s="58" t="str">
        <f>"+ "&amp;FIXED(E5,0)&amp;"/"&amp;FIXED(H5,0)&amp;"*"&amp;FIXED(B29,2)</f>
        <v>+ 120/536*1,03</v>
      </c>
      <c r="D35" s="58"/>
      <c r="E35" s="58" t="str">
        <f>"+ "&amp;FIXED(E6,0)&amp;"/"&amp;FIXED(H6,0)&amp;"*"&amp;FIXED(F29,2)</f>
        <v>+ 125/215*1,00</v>
      </c>
      <c r="F35" s="58"/>
      <c r="I35" s="179"/>
      <c r="J35" s="195"/>
      <c r="K35" s="195"/>
      <c r="L35" s="195"/>
      <c r="M35" s="193"/>
      <c r="P35" s="136" t="str">
        <f>A35</f>
        <v>670/(0,96*3.729)</v>
      </c>
      <c r="Q35" s="136"/>
      <c r="R35" s="136" t="str">
        <f>C35</f>
        <v>+ 120/536*1,03</v>
      </c>
      <c r="S35" s="136"/>
      <c r="T35" s="136" t="str">
        <f>E35</f>
        <v>+ 125/215*1,00</v>
      </c>
      <c r="U35" s="136"/>
      <c r="V35" s="95"/>
      <c r="W35" s="95"/>
    </row>
    <row r="36" spans="9:23" ht="12.75" outlineLevel="2">
      <c r="I36" s="179"/>
      <c r="J36" s="195"/>
      <c r="K36" s="201"/>
      <c r="L36" s="201"/>
      <c r="M36" s="193"/>
      <c r="P36" s="95"/>
      <c r="Q36" s="95"/>
      <c r="R36" s="95"/>
      <c r="S36" s="95"/>
      <c r="T36" s="95"/>
      <c r="U36" s="95"/>
      <c r="V36" s="95"/>
      <c r="W36" s="95"/>
    </row>
    <row r="37" spans="2:23" ht="12.75" outlineLevel="1">
      <c r="B37" s="38">
        <f>E4/(MIN(B23,F23)*H4)</f>
        <v>0.18788424081403182</v>
      </c>
      <c r="C37" s="57">
        <f>E5/H5*B29</f>
        <v>0.22966689197556436</v>
      </c>
      <c r="D37" s="57">
        <f>E6/H6*F29</f>
        <v>0.5799690181817342</v>
      </c>
      <c r="E37" s="76">
        <f>B37+C37+D37</f>
        <v>0.9975201509713304</v>
      </c>
      <c r="G37" s="24">
        <f>IF(E37&gt;1,"!!!","")</f>
      </c>
      <c r="I37" s="179"/>
      <c r="J37" s="195"/>
      <c r="K37" s="194" t="s">
        <v>165</v>
      </c>
      <c r="L37" s="202" t="s">
        <v>185</v>
      </c>
      <c r="M37" s="193"/>
      <c r="P37" s="95"/>
      <c r="Q37" s="116">
        <f>B37</f>
        <v>0.18788424081403182</v>
      </c>
      <c r="R37" s="137">
        <f>C37</f>
        <v>0.22966689197556436</v>
      </c>
      <c r="S37" s="137">
        <f>D37</f>
        <v>0.5799690181817342</v>
      </c>
      <c r="T37" s="138">
        <f>E37</f>
        <v>0.9975201509713304</v>
      </c>
      <c r="U37" s="95"/>
      <c r="V37" s="95">
        <f>IF(T37&gt;1,"!!!","")</f>
      </c>
      <c r="W37" s="95"/>
    </row>
    <row r="38" spans="2:23" ht="0.75" customHeight="1" outlineLevel="1">
      <c r="B38" s="38"/>
      <c r="C38" s="57"/>
      <c r="D38" s="57"/>
      <c r="E38" s="76"/>
      <c r="I38" s="179"/>
      <c r="J38" s="200" t="s">
        <v>228</v>
      </c>
      <c r="K38" s="195" t="s">
        <v>153</v>
      </c>
      <c r="L38" s="195">
        <f>MATCH($A$4&amp;"_1",Profile!A:A,0)</f>
        <v>90</v>
      </c>
      <c r="M38" s="193"/>
      <c r="P38" s="95"/>
      <c r="Q38" s="116"/>
      <c r="R38" s="137"/>
      <c r="S38" s="137"/>
      <c r="T38" s="138"/>
      <c r="U38" s="95"/>
      <c r="V38" s="95"/>
      <c r="W38" s="95"/>
    </row>
    <row r="39" spans="1:23" ht="12.75" customHeight="1">
      <c r="A39" s="73"/>
      <c r="B39" s="74"/>
      <c r="C39" s="75"/>
      <c r="D39" s="75"/>
      <c r="E39" s="74"/>
      <c r="F39" s="73"/>
      <c r="G39" s="73"/>
      <c r="H39" s="73"/>
      <c r="I39" s="179"/>
      <c r="J39" s="195"/>
      <c r="K39" s="195" t="s">
        <v>154</v>
      </c>
      <c r="L39" s="195">
        <f>MATCH($A$4&amp;"_2",Profile!A:A,0)</f>
        <v>113</v>
      </c>
      <c r="M39" s="193"/>
      <c r="P39" s="139"/>
      <c r="Q39" s="140"/>
      <c r="R39" s="141"/>
      <c r="S39" s="141"/>
      <c r="T39" s="140"/>
      <c r="U39" s="139"/>
      <c r="V39" s="139"/>
      <c r="W39" s="139"/>
    </row>
    <row r="40" spans="1:23" ht="12.75" customHeight="1" outlineLevel="1">
      <c r="A40" s="25" t="s">
        <v>209</v>
      </c>
      <c r="B40" s="35"/>
      <c r="C40" s="72"/>
      <c r="D40" s="72"/>
      <c r="E40" s="43"/>
      <c r="F40" s="29"/>
      <c r="G40" s="29"/>
      <c r="H40" s="29"/>
      <c r="I40" s="179"/>
      <c r="J40" s="195"/>
      <c r="K40" s="195"/>
      <c r="L40" s="197" t="b">
        <f>ISNA(VLOOKUP(A4&amp;B4,Profile!B6:C137,2,0))</f>
        <v>0</v>
      </c>
      <c r="M40" s="193"/>
      <c r="P40" s="97" t="s">
        <v>209</v>
      </c>
      <c r="Q40" s="115"/>
      <c r="R40" s="142"/>
      <c r="S40" s="142"/>
      <c r="T40" s="143"/>
      <c r="U40" s="96"/>
      <c r="V40" s="96"/>
      <c r="W40" s="96"/>
    </row>
    <row r="41" spans="1:23" ht="15.75" outlineLevel="1">
      <c r="A41" s="56" t="s">
        <v>204</v>
      </c>
      <c r="B41" s="168">
        <v>1</v>
      </c>
      <c r="E41" s="55" t="s">
        <v>205</v>
      </c>
      <c r="F41" s="168">
        <v>1</v>
      </c>
      <c r="I41" s="179"/>
      <c r="J41" s="195"/>
      <c r="K41" s="195"/>
      <c r="L41" s="195"/>
      <c r="M41" s="193"/>
      <c r="P41" s="131" t="s">
        <v>204</v>
      </c>
      <c r="Q41" s="132">
        <f>B41</f>
        <v>1</v>
      </c>
      <c r="R41" s="95"/>
      <c r="S41" s="95"/>
      <c r="T41" s="128" t="s">
        <v>205</v>
      </c>
      <c r="U41" s="132">
        <f>F41</f>
        <v>1</v>
      </c>
      <c r="V41" s="95"/>
      <c r="W41" s="95"/>
    </row>
    <row r="42" spans="1:23" ht="15.75" outlineLevel="1">
      <c r="A42" s="24" t="s">
        <v>197</v>
      </c>
      <c r="B42" s="42">
        <f>IF(B23&lt;F23,1,IF(B23=F23,1,1/((1-E4/H4*C18^2)/(1-E4/H4*G18^2))))</f>
        <v>0.9891591976455048</v>
      </c>
      <c r="C42" s="57"/>
      <c r="E42" s="53" t="s">
        <v>198</v>
      </c>
      <c r="F42" s="49">
        <f>IF(F23&lt;B23,1,IF(B23=F23,1,(1-E4/H4*C18^2)/(1-E4/H4*G18^2)))</f>
        <v>1</v>
      </c>
      <c r="I42" s="179"/>
      <c r="J42" s="195"/>
      <c r="K42" s="201"/>
      <c r="L42" s="201"/>
      <c r="M42" s="193"/>
      <c r="P42" s="95" t="s">
        <v>197</v>
      </c>
      <c r="Q42" s="125">
        <f>B42</f>
        <v>0.9891591976455048</v>
      </c>
      <c r="R42" s="137"/>
      <c r="S42" s="95"/>
      <c r="T42" s="118" t="s">
        <v>198</v>
      </c>
      <c r="U42" s="119">
        <f>F42</f>
        <v>1</v>
      </c>
      <c r="V42" s="95"/>
      <c r="W42" s="95"/>
    </row>
    <row r="43" spans="9:23" ht="12.75" customHeight="1" outlineLevel="1">
      <c r="I43" s="179"/>
      <c r="J43" s="195"/>
      <c r="K43" s="201"/>
      <c r="L43" s="201"/>
      <c r="M43" s="193"/>
      <c r="P43" s="95"/>
      <c r="Q43" s="95"/>
      <c r="R43" s="95"/>
      <c r="S43" s="95"/>
      <c r="T43" s="95"/>
      <c r="U43" s="95"/>
      <c r="V43" s="95"/>
      <c r="W43" s="95"/>
    </row>
    <row r="44" spans="1:23" ht="15.75" outlineLevel="1">
      <c r="A44" s="24" t="s">
        <v>202</v>
      </c>
      <c r="B44" s="57"/>
      <c r="C44" s="57"/>
      <c r="D44" s="50">
        <f>MIN(E4/(F44*H4)*(1-E4/(F44*H4))*F44^2*F45^2,0.1)</f>
        <v>0.011400713881959415</v>
      </c>
      <c r="E44" s="24" t="s">
        <v>200</v>
      </c>
      <c r="F44" s="42">
        <f>MIN(B23,F23)</f>
        <v>0.9563777118276116</v>
      </c>
      <c r="G44" s="88" t="s">
        <v>212</v>
      </c>
      <c r="H44" s="50">
        <f>(1-E4/H4*C18^2)/(1-E4/H4*G18^2)</f>
        <v>1.0109596133567778</v>
      </c>
      <c r="I44" s="179"/>
      <c r="J44" s="195"/>
      <c r="K44" s="201"/>
      <c r="L44" s="201"/>
      <c r="M44" s="193"/>
      <c r="P44" s="95" t="s">
        <v>202</v>
      </c>
      <c r="Q44" s="137"/>
      <c r="R44" s="137"/>
      <c r="S44" s="144">
        <f>D44</f>
        <v>0.011400713881959415</v>
      </c>
      <c r="T44" s="95" t="s">
        <v>200</v>
      </c>
      <c r="U44" s="125">
        <f>F44</f>
        <v>0.9563777118276116</v>
      </c>
      <c r="V44" s="176" t="str">
        <f>G44</f>
        <v>mit cz</v>
      </c>
      <c r="W44" s="144">
        <f>H44</f>
        <v>1.0109596133567778</v>
      </c>
    </row>
    <row r="45" spans="2:23" ht="15.75" outlineLevel="1">
      <c r="B45" s="38"/>
      <c r="C45" s="57"/>
      <c r="D45" s="57"/>
      <c r="E45" s="24" t="s">
        <v>201</v>
      </c>
      <c r="F45" s="49">
        <f>IF(B23&lt;=F23,C18,G18)</f>
        <v>0.28581329758656454</v>
      </c>
      <c r="G45" s="80" t="str">
        <f>IF(B23&lt;F23,"y maßgebend",IF(B23=F23,"y-Richtung = z-Richtung","z maßgebend"))</f>
        <v>z maßgebend</v>
      </c>
      <c r="H45" s="58"/>
      <c r="I45" s="179"/>
      <c r="J45" s="195"/>
      <c r="K45" s="201"/>
      <c r="L45" s="201"/>
      <c r="M45" s="193"/>
      <c r="P45" s="95"/>
      <c r="Q45" s="116"/>
      <c r="R45" s="137"/>
      <c r="S45" s="137"/>
      <c r="T45" s="95" t="s">
        <v>201</v>
      </c>
      <c r="U45" s="119">
        <f>F45</f>
        <v>0.28581329758656454</v>
      </c>
      <c r="V45" s="145" t="str">
        <f>G45</f>
        <v>z maßgebend</v>
      </c>
      <c r="W45" s="177"/>
    </row>
    <row r="46" spans="1:23" ht="12.75" outlineLevel="1">
      <c r="A46" s="25" t="s">
        <v>211</v>
      </c>
      <c r="I46" s="179"/>
      <c r="J46" s="195"/>
      <c r="K46" s="201"/>
      <c r="L46" s="201"/>
      <c r="M46" s="193"/>
      <c r="P46" s="97" t="s">
        <v>211</v>
      </c>
      <c r="Q46" s="95"/>
      <c r="R46" s="95"/>
      <c r="S46" s="95"/>
      <c r="T46" s="95"/>
      <c r="U46" s="95"/>
      <c r="V46" s="95"/>
      <c r="W46" s="95"/>
    </row>
    <row r="47" spans="9:23" ht="12.75" outlineLevel="1">
      <c r="I47" s="179"/>
      <c r="J47" s="195"/>
      <c r="K47" s="195"/>
      <c r="L47" s="195"/>
      <c r="M47" s="193"/>
      <c r="P47" s="95"/>
      <c r="Q47" s="95"/>
      <c r="R47" s="95"/>
      <c r="S47" s="95"/>
      <c r="T47" s="95"/>
      <c r="U47" s="95"/>
      <c r="V47" s="95"/>
      <c r="W47" s="95"/>
    </row>
    <row r="48" spans="2:23" ht="15.75" outlineLevel="1">
      <c r="B48" s="62"/>
      <c r="C48" s="59" t="s">
        <v>206</v>
      </c>
      <c r="D48" s="60"/>
      <c r="E48" s="61"/>
      <c r="F48" s="63"/>
      <c r="I48" s="179"/>
      <c r="J48" s="195"/>
      <c r="K48" s="195"/>
      <c r="L48" s="195"/>
      <c r="M48" s="193"/>
      <c r="P48" s="95"/>
      <c r="Q48" s="146"/>
      <c r="R48" s="133" t="s">
        <v>206</v>
      </c>
      <c r="S48" s="134"/>
      <c r="T48" s="135"/>
      <c r="U48" s="147"/>
      <c r="V48" s="95"/>
      <c r="W48" s="95"/>
    </row>
    <row r="49" spans="9:23" ht="12.75" outlineLevel="2">
      <c r="I49" s="179"/>
      <c r="J49" s="195"/>
      <c r="K49" s="195"/>
      <c r="L49" s="195"/>
      <c r="M49" s="193"/>
      <c r="P49" s="95"/>
      <c r="Q49" s="95"/>
      <c r="R49" s="95"/>
      <c r="S49" s="95"/>
      <c r="T49" s="95"/>
      <c r="U49" s="95"/>
      <c r="V49" s="95"/>
      <c r="W49" s="95"/>
    </row>
    <row r="50" spans="1:23" ht="12.75" outlineLevel="2">
      <c r="A50" s="58" t="str">
        <f>FIXED(E4,0)&amp;"/("&amp;FIXED(F44,2)&amp;"*"&amp;FIXED(H4,0)&amp;")"</f>
        <v>670/(0,96*3.729)</v>
      </c>
      <c r="B50" s="58"/>
      <c r="C50" s="58" t="str">
        <f>"+ "&amp;FIXED(B41,2)&amp;"*"&amp;FIXED(H5,0)&amp;"/"&amp;FIXED(E5,0)&amp;"*"&amp;FIXED(B42,2)</f>
        <v>+ 1,00*536/120*0,99</v>
      </c>
      <c r="D50" s="58"/>
      <c r="E50" s="58" t="str">
        <f>"+ "&amp;FIXED(F41,2)&amp;"*"&amp;FIXED(E6,0)&amp;"/"&amp;FIXED(H7,0)&amp;"*"&amp;FIXED(F44,2)</f>
        <v>+ 1,00*125/176*0,96</v>
      </c>
      <c r="F50" s="58"/>
      <c r="G50" s="24" t="str">
        <f>"+ "&amp;FIXED(D44,2)</f>
        <v>+ 0,01</v>
      </c>
      <c r="I50" s="179"/>
      <c r="J50" s="200" t="s">
        <v>228</v>
      </c>
      <c r="K50" s="195"/>
      <c r="L50" s="195"/>
      <c r="M50" s="193"/>
      <c r="P50" s="136" t="str">
        <f>A50</f>
        <v>670/(0,96*3.729)</v>
      </c>
      <c r="Q50" s="136"/>
      <c r="R50" s="136" t="str">
        <f>C50</f>
        <v>+ 1,00*536/120*0,99</v>
      </c>
      <c r="S50" s="136"/>
      <c r="T50" s="136" t="str">
        <f>E50</f>
        <v>+ 1,00*125/176*0,96</v>
      </c>
      <c r="U50" s="136"/>
      <c r="V50" s="95" t="str">
        <f>G50</f>
        <v>+ 0,01</v>
      </c>
      <c r="W50" s="95"/>
    </row>
    <row r="51" spans="9:23" ht="12.75" outlineLevel="1">
      <c r="I51" s="179"/>
      <c r="J51" s="195"/>
      <c r="K51" s="195"/>
      <c r="L51" s="195"/>
      <c r="M51" s="193"/>
      <c r="P51" s="95"/>
      <c r="Q51" s="95"/>
      <c r="R51" s="95"/>
      <c r="S51" s="95"/>
      <c r="T51" s="95"/>
      <c r="U51" s="95"/>
      <c r="V51" s="95"/>
      <c r="W51" s="95"/>
    </row>
    <row r="52" spans="2:23" ht="12.75" outlineLevel="1">
      <c r="B52" s="38">
        <f>E4/(F44*H4)</f>
        <v>0.18788424081403182</v>
      </c>
      <c r="C52" s="57">
        <f>B41*E5/H5*B42</f>
        <v>0.2212995304884493</v>
      </c>
      <c r="D52" s="57">
        <f>F41*E6/H7*F42</f>
        <v>0.7094943240454077</v>
      </c>
      <c r="E52" s="57">
        <f>D44</f>
        <v>0.011400713881959415</v>
      </c>
      <c r="F52" s="76">
        <f>B52+C52+D52+E52</f>
        <v>1.1300788092298482</v>
      </c>
      <c r="G52" s="24" t="str">
        <f>IF(F52&gt;1,"!!!","")</f>
        <v>!!!</v>
      </c>
      <c r="I52" s="179"/>
      <c r="J52" s="195"/>
      <c r="K52" s="195"/>
      <c r="L52" s="195"/>
      <c r="M52" s="193"/>
      <c r="P52" s="95"/>
      <c r="Q52" s="116">
        <f aca="true" t="shared" si="4" ref="Q52:V52">B52</f>
        <v>0.18788424081403182</v>
      </c>
      <c r="R52" s="137">
        <f t="shared" si="4"/>
        <v>0.2212995304884493</v>
      </c>
      <c r="S52" s="137">
        <f t="shared" si="4"/>
        <v>0.7094943240454077</v>
      </c>
      <c r="T52" s="137">
        <f t="shared" si="4"/>
        <v>0.011400713881959415</v>
      </c>
      <c r="U52" s="138">
        <f t="shared" si="4"/>
        <v>1.1300788092298482</v>
      </c>
      <c r="V52" s="119" t="str">
        <f t="shared" si="4"/>
        <v>!!!</v>
      </c>
      <c r="W52" s="95"/>
    </row>
    <row r="53" spans="9:23" ht="12.75" outlineLevel="1">
      <c r="I53" s="179"/>
      <c r="J53" s="195"/>
      <c r="K53" s="195"/>
      <c r="L53" s="195"/>
      <c r="M53" s="193"/>
      <c r="P53" s="95"/>
      <c r="Q53" s="95"/>
      <c r="R53" s="95"/>
      <c r="S53" s="95"/>
      <c r="T53" s="95"/>
      <c r="U53" s="95"/>
      <c r="V53" s="95"/>
      <c r="W53" s="95"/>
    </row>
    <row r="54" spans="1:23" ht="12.75">
      <c r="A54" s="78" t="s">
        <v>226</v>
      </c>
      <c r="B54" s="91"/>
      <c r="C54" s="92"/>
      <c r="D54" s="92"/>
      <c r="E54" s="79"/>
      <c r="F54" s="79"/>
      <c r="G54" s="79"/>
      <c r="H54" s="79"/>
      <c r="I54" s="179"/>
      <c r="J54" s="195"/>
      <c r="K54" s="195"/>
      <c r="L54" s="195"/>
      <c r="M54" s="193"/>
      <c r="P54" s="129" t="s">
        <v>226</v>
      </c>
      <c r="Q54" s="148"/>
      <c r="R54" s="149"/>
      <c r="S54" s="149"/>
      <c r="T54" s="130"/>
      <c r="U54" s="130"/>
      <c r="V54" s="130"/>
      <c r="W54" s="130"/>
    </row>
    <row r="55" spans="1:23" ht="15.75">
      <c r="A55" s="34" t="s">
        <v>219</v>
      </c>
      <c r="B55" s="169">
        <v>1</v>
      </c>
      <c r="C55" s="57"/>
      <c r="D55" s="57"/>
      <c r="E55" s="83" t="s">
        <v>7</v>
      </c>
      <c r="F55" s="90">
        <f>VLOOKUP($A$4&amp;$B$4,Profildaten,MATCH(E$55,Profile!$4:$4,0)-1,0)</f>
        <v>257.2042615203522</v>
      </c>
      <c r="G55" s="84" t="s">
        <v>148</v>
      </c>
      <c r="I55" s="179"/>
      <c r="J55" s="194" t="str">
        <f>IF(B5&lt;=600,"vereinfacht für h ≤ 600 mm","vereinfacht (unzulässig: h &gt; 600 mm!)")</f>
        <v>vereinfacht für h ≤ 600 mm</v>
      </c>
      <c r="K55" s="195"/>
      <c r="L55" s="195"/>
      <c r="M55" s="193"/>
      <c r="P55" s="124" t="s">
        <v>219</v>
      </c>
      <c r="Q55" s="150">
        <f>B55</f>
        <v>1</v>
      </c>
      <c r="R55" s="137"/>
      <c r="S55" s="137"/>
      <c r="T55" s="151" t="s">
        <v>7</v>
      </c>
      <c r="U55" s="152">
        <f>F55</f>
        <v>257.2042615203522</v>
      </c>
      <c r="V55" s="153" t="s">
        <v>148</v>
      </c>
      <c r="W55" s="95"/>
    </row>
    <row r="56" spans="1:23" ht="15.75">
      <c r="A56" s="82" t="s">
        <v>221</v>
      </c>
      <c r="B56" s="170">
        <v>0</v>
      </c>
      <c r="C56" s="85" t="str">
        <f>"Info: h/2 = "&amp;FIXED(B5/2,1)&amp;" mm"</f>
        <v>Info: h/2 = 170,0 mm</v>
      </c>
      <c r="D56" s="57"/>
      <c r="E56" s="86" t="s">
        <v>223</v>
      </c>
      <c r="F56" s="87">
        <f>B55*G17*(SQRT(B57+0.25*(B56/10)^2)+0.5*(B56/10))/100</f>
        <v>7834.687058808911</v>
      </c>
      <c r="G56" s="82" t="s">
        <v>149</v>
      </c>
      <c r="I56" s="179"/>
      <c r="J56" s="195" t="s">
        <v>246</v>
      </c>
      <c r="K56" s="195"/>
      <c r="L56" s="203">
        <f>(1.32*B6*B7/100*E10/10*B13)/(G13*(B5/10)^2*E9*100)</f>
        <v>257729.94809688578</v>
      </c>
      <c r="M56" s="193" t="s">
        <v>149</v>
      </c>
      <c r="P56" s="154" t="s">
        <v>221</v>
      </c>
      <c r="Q56" s="155">
        <f>B56</f>
        <v>0</v>
      </c>
      <c r="R56" s="156" t="str">
        <f>"Info: h/2 = "&amp;FIXED(Q5/2,1)&amp;" mm"</f>
        <v>Info: h/2 = 170,0 mm</v>
      </c>
      <c r="S56" s="137"/>
      <c r="T56" s="157" t="s">
        <v>223</v>
      </c>
      <c r="U56" s="158">
        <f>F56</f>
        <v>7834.687058808911</v>
      </c>
      <c r="V56" s="154" t="s">
        <v>149</v>
      </c>
      <c r="W56" s="95"/>
    </row>
    <row r="57" spans="1:23" ht="15.75">
      <c r="A57" s="82" t="s">
        <v>229</v>
      </c>
      <c r="B57" s="89">
        <f>(B58*1000+0.039*(G13*100)^2*F55)/B14</f>
        <v>294.6205438438338</v>
      </c>
      <c r="C57" s="83" t="s">
        <v>222</v>
      </c>
      <c r="D57" s="57"/>
      <c r="E57" s="82" t="s">
        <v>224</v>
      </c>
      <c r="F57" s="42">
        <f>SQRT(H5/F56)</f>
        <v>0.26165114917925614</v>
      </c>
      <c r="G57" s="82" t="s">
        <v>225</v>
      </c>
      <c r="I57" s="179"/>
      <c r="J57" s="195" t="s">
        <v>247</v>
      </c>
      <c r="K57" s="195"/>
      <c r="L57" s="204">
        <f>SQRT(H5/L56)</f>
        <v>0.04561955351095637</v>
      </c>
      <c r="M57" s="193"/>
      <c r="P57" s="154" t="s">
        <v>229</v>
      </c>
      <c r="Q57" s="159">
        <f>B57</f>
        <v>294.6205438438338</v>
      </c>
      <c r="R57" s="151" t="s">
        <v>222</v>
      </c>
      <c r="S57" s="137"/>
      <c r="T57" s="154" t="s">
        <v>224</v>
      </c>
      <c r="U57" s="125">
        <f>F57</f>
        <v>0.26165114917925614</v>
      </c>
      <c r="V57" s="154" t="s">
        <v>225</v>
      </c>
      <c r="W57" s="95"/>
    </row>
    <row r="58" spans="1:23" ht="15.75">
      <c r="A58" s="82" t="s">
        <v>4</v>
      </c>
      <c r="B58" s="90">
        <f>VLOOKUP($A$4&amp;$B$4,Profildaten,MATCH(A$58,Profile!$4:$4,0)-1,0)</f>
        <v>2453.634421875</v>
      </c>
      <c r="C58" s="84" t="s">
        <v>220</v>
      </c>
      <c r="D58" s="57"/>
      <c r="E58" s="24" t="s">
        <v>213</v>
      </c>
      <c r="F58" s="42">
        <f>IF(F57&lt;=0.4,1,(1/(1+F57^(2*2.5)))^(1/2.5))</f>
        <v>1</v>
      </c>
      <c r="I58" s="179"/>
      <c r="J58" s="195" t="s">
        <v>248</v>
      </c>
      <c r="K58" s="195"/>
      <c r="L58" s="204">
        <f>IF(L57&lt;=0.4,1,(1/(1+L57^(2*2.5)))^(1/2.5))</f>
        <v>1</v>
      </c>
      <c r="M58" s="193"/>
      <c r="P58" s="154" t="s">
        <v>4</v>
      </c>
      <c r="Q58" s="152">
        <f>B58</f>
        <v>2453.634421875</v>
      </c>
      <c r="R58" s="153" t="s">
        <v>220</v>
      </c>
      <c r="S58" s="137"/>
      <c r="T58" s="95" t="s">
        <v>213</v>
      </c>
      <c r="U58" s="125">
        <f>F58</f>
        <v>1</v>
      </c>
      <c r="V58" s="95"/>
      <c r="W58" s="95"/>
    </row>
    <row r="59" spans="2:23" ht="15.75">
      <c r="B59" s="38"/>
      <c r="C59" s="57"/>
      <c r="D59" s="57"/>
      <c r="E59" s="57"/>
      <c r="F59" s="38"/>
      <c r="I59" s="179"/>
      <c r="J59" s="205" t="s">
        <v>249</v>
      </c>
      <c r="K59" s="195"/>
      <c r="L59" s="204">
        <f>E5/(L58*H5)*B61</f>
        <v>0.22372488777863916</v>
      </c>
      <c r="M59" s="193"/>
      <c r="P59" s="95"/>
      <c r="Q59" s="116"/>
      <c r="R59" s="137"/>
      <c r="S59" s="137"/>
      <c r="T59" s="137"/>
      <c r="U59" s="116"/>
      <c r="V59" s="95"/>
      <c r="W59" s="95"/>
    </row>
    <row r="60" spans="1:23" ht="15.75">
      <c r="A60" s="56" t="s">
        <v>193</v>
      </c>
      <c r="B60" s="168">
        <v>1.1</v>
      </c>
      <c r="C60" s="57"/>
      <c r="D60" s="57"/>
      <c r="E60" s="24" t="s">
        <v>195</v>
      </c>
      <c r="F60" s="42">
        <f>MIN(0.15*G18*B60-0.15,0.9)</f>
        <v>-0.10284080589821684</v>
      </c>
      <c r="G60" s="24" t="s">
        <v>214</v>
      </c>
      <c r="I60" s="179"/>
      <c r="J60" s="195"/>
      <c r="K60" s="201"/>
      <c r="L60" s="201"/>
      <c r="M60" s="193"/>
      <c r="P60" s="131" t="s">
        <v>193</v>
      </c>
      <c r="Q60" s="132">
        <f>B60</f>
        <v>1.1</v>
      </c>
      <c r="R60" s="137"/>
      <c r="S60" s="137"/>
      <c r="T60" s="95" t="s">
        <v>195</v>
      </c>
      <c r="U60" s="125">
        <f>F60</f>
        <v>-0.10284080589821684</v>
      </c>
      <c r="V60" s="95" t="s">
        <v>214</v>
      </c>
      <c r="W60" s="95"/>
    </row>
    <row r="61" spans="1:23" ht="15.75">
      <c r="A61" s="24" t="s">
        <v>197</v>
      </c>
      <c r="B61" s="42">
        <f>MIN(1-E4/(F62*H4)*F60,1)</f>
        <v>1</v>
      </c>
      <c r="C61" s="24" t="s">
        <v>215</v>
      </c>
      <c r="D61" s="57"/>
      <c r="E61" s="81" t="s">
        <v>198</v>
      </c>
      <c r="F61" s="49">
        <f>F29</f>
        <v>0.9978544627496707</v>
      </c>
      <c r="I61" s="179"/>
      <c r="J61" s="195"/>
      <c r="K61" s="201"/>
      <c r="L61" s="201"/>
      <c r="M61" s="193"/>
      <c r="P61" s="95" t="s">
        <v>197</v>
      </c>
      <c r="Q61" s="125">
        <f>B61</f>
        <v>1</v>
      </c>
      <c r="R61" s="95" t="s">
        <v>215</v>
      </c>
      <c r="S61" s="137"/>
      <c r="T61" s="160" t="s">
        <v>198</v>
      </c>
      <c r="U61" s="119">
        <f>F61</f>
        <v>0.9978544627496707</v>
      </c>
      <c r="V61" s="95"/>
      <c r="W61" s="95"/>
    </row>
    <row r="62" spans="5:23" ht="15.75">
      <c r="E62" s="56" t="s">
        <v>189</v>
      </c>
      <c r="F62" s="42">
        <f>F23</f>
        <v>0.9563777118276116</v>
      </c>
      <c r="I62" s="179"/>
      <c r="J62" s="195"/>
      <c r="K62" s="201"/>
      <c r="L62" s="201"/>
      <c r="M62" s="193"/>
      <c r="P62" s="95"/>
      <c r="Q62" s="95"/>
      <c r="R62" s="95"/>
      <c r="S62" s="95"/>
      <c r="T62" s="131" t="s">
        <v>189</v>
      </c>
      <c r="U62" s="125">
        <f>F62</f>
        <v>0.9563777118276116</v>
      </c>
      <c r="V62" s="95"/>
      <c r="W62" s="95"/>
    </row>
    <row r="63" spans="9:23" ht="12.75">
      <c r="I63" s="179"/>
      <c r="J63" s="195"/>
      <c r="K63" s="201"/>
      <c r="L63" s="201"/>
      <c r="M63" s="193"/>
      <c r="P63" s="95"/>
      <c r="Q63" s="95"/>
      <c r="R63" s="95"/>
      <c r="S63" s="95"/>
      <c r="T63" s="95"/>
      <c r="U63" s="95"/>
      <c r="V63" s="95"/>
      <c r="W63" s="95"/>
    </row>
    <row r="64" spans="1:23" ht="12.75">
      <c r="A64" s="25" t="s">
        <v>227</v>
      </c>
      <c r="I64" s="179"/>
      <c r="J64" s="195"/>
      <c r="K64" s="201"/>
      <c r="L64" s="201"/>
      <c r="M64" s="193"/>
      <c r="P64" s="97" t="s">
        <v>227</v>
      </c>
      <c r="Q64" s="95"/>
      <c r="R64" s="95"/>
      <c r="S64" s="95"/>
      <c r="T64" s="95"/>
      <c r="U64" s="95"/>
      <c r="V64" s="95"/>
      <c r="W64" s="95"/>
    </row>
    <row r="65" spans="4:23" ht="12.75">
      <c r="D65" s="57"/>
      <c r="I65" s="179"/>
      <c r="J65" s="195"/>
      <c r="K65" s="201"/>
      <c r="L65" s="201"/>
      <c r="M65" s="193"/>
      <c r="P65" s="95"/>
      <c r="Q65" s="95"/>
      <c r="R65" s="95"/>
      <c r="S65" s="137"/>
      <c r="T65" s="95"/>
      <c r="U65" s="95"/>
      <c r="V65" s="95"/>
      <c r="W65" s="95"/>
    </row>
    <row r="66" spans="2:23" ht="15.75" collapsed="1">
      <c r="B66" s="59" t="s">
        <v>218</v>
      </c>
      <c r="C66" s="60"/>
      <c r="D66" s="60"/>
      <c r="E66" s="61"/>
      <c r="I66" s="179"/>
      <c r="J66" s="195"/>
      <c r="K66" s="201"/>
      <c r="L66" s="201"/>
      <c r="M66" s="193"/>
      <c r="P66" s="95"/>
      <c r="Q66" s="133" t="s">
        <v>218</v>
      </c>
      <c r="R66" s="134"/>
      <c r="S66" s="134"/>
      <c r="T66" s="135"/>
      <c r="U66" s="95"/>
      <c r="V66" s="95"/>
      <c r="W66" s="95"/>
    </row>
    <row r="67" spans="2:23" ht="12.75" hidden="1" outlineLevel="1">
      <c r="B67" s="38"/>
      <c r="C67" s="57"/>
      <c r="D67" s="57"/>
      <c r="E67" s="57"/>
      <c r="F67" s="38"/>
      <c r="I67" s="179"/>
      <c r="J67" s="195"/>
      <c r="K67" s="201"/>
      <c r="L67" s="201"/>
      <c r="M67" s="193"/>
      <c r="P67" s="95"/>
      <c r="Q67" s="116"/>
      <c r="R67" s="137"/>
      <c r="S67" s="137"/>
      <c r="T67" s="137"/>
      <c r="U67" s="116"/>
      <c r="V67" s="95"/>
      <c r="W67" s="95"/>
    </row>
    <row r="68" spans="1:23" ht="12.75" hidden="1" outlineLevel="1">
      <c r="A68" s="58" t="str">
        <f>FIXED(E4,0)&amp;"/("&amp;FIXED(F62,2)&amp;"*"&amp;FIXED(H4,0)&amp;")"</f>
        <v>670/(0,96*3.729)</v>
      </c>
      <c r="B68" s="58"/>
      <c r="C68" s="58" t="str">
        <f>"+ "&amp;FIXED(E5,0)&amp;"/("&amp;FIXED(F58,2)&amp;"*"&amp;FIXED(H5,0)&amp;")*"&amp;FIXED(B61,2)</f>
        <v>+ 120/(1,00*536)*1,00</v>
      </c>
      <c r="D68" s="58"/>
      <c r="E68" s="58" t="str">
        <f>"+ "&amp;FIXED(E6,0)&amp;"/"&amp;FIXED(H6,0)&amp;"*"&amp;FIXED(F61,2)</f>
        <v>+ 125/215*1,00</v>
      </c>
      <c r="F68" s="58"/>
      <c r="I68" s="179"/>
      <c r="J68" s="200" t="s">
        <v>228</v>
      </c>
      <c r="K68" s="201"/>
      <c r="L68" s="201"/>
      <c r="M68" s="193"/>
      <c r="P68" s="136" t="str">
        <f>A68</f>
        <v>670/(0,96*3.729)</v>
      </c>
      <c r="Q68" s="136"/>
      <c r="R68" s="136" t="str">
        <f>C68</f>
        <v>+ 120/(1,00*536)*1,00</v>
      </c>
      <c r="S68" s="136"/>
      <c r="T68" s="136" t="str">
        <f>E68</f>
        <v>+ 125/215*1,00</v>
      </c>
      <c r="U68" s="136"/>
      <c r="V68" s="95"/>
      <c r="W68" s="95"/>
    </row>
    <row r="69" spans="2:23" ht="12.75">
      <c r="B69" s="38"/>
      <c r="C69" s="57"/>
      <c r="D69" s="57"/>
      <c r="E69" s="57"/>
      <c r="F69" s="38"/>
      <c r="I69" s="179"/>
      <c r="J69" s="195"/>
      <c r="K69" s="201"/>
      <c r="L69" s="201"/>
      <c r="M69" s="193"/>
      <c r="P69" s="95"/>
      <c r="Q69" s="116"/>
      <c r="R69" s="137"/>
      <c r="S69" s="137"/>
      <c r="T69" s="137"/>
      <c r="U69" s="116"/>
      <c r="V69" s="95"/>
      <c r="W69" s="95"/>
    </row>
    <row r="70" spans="2:23" ht="13.5" thickBot="1">
      <c r="B70" s="38">
        <f>E4/(F62*H4)</f>
        <v>0.18788424081403182</v>
      </c>
      <c r="C70" s="57">
        <f>E5/(F58*H5)*B61</f>
        <v>0.22372488777863916</v>
      </c>
      <c r="D70" s="57">
        <f>E6/H6*F61</f>
        <v>0.5799690181817342</v>
      </c>
      <c r="E70" s="76">
        <f>B70+C70+D70</f>
        <v>0.9915781467744051</v>
      </c>
      <c r="F70" s="38"/>
      <c r="G70" s="29">
        <f>IF(E70&gt;1,"!!!","")</f>
      </c>
      <c r="I70" s="179"/>
      <c r="J70" s="207" t="s">
        <v>282</v>
      </c>
      <c r="K70" s="206"/>
      <c r="L70" s="206"/>
      <c r="M70" s="209" t="s">
        <v>281</v>
      </c>
      <c r="P70" s="95"/>
      <c r="Q70" s="116">
        <f>B70</f>
        <v>0.18788424081403182</v>
      </c>
      <c r="R70" s="137">
        <f>C70</f>
        <v>0.22372488777863916</v>
      </c>
      <c r="S70" s="137">
        <f>D70</f>
        <v>0.5799690181817342</v>
      </c>
      <c r="T70" s="138">
        <f>E70</f>
        <v>0.9915781467744051</v>
      </c>
      <c r="U70" s="116"/>
      <c r="V70" s="96">
        <f>IF(T70&gt;1,"!!!","")</f>
      </c>
      <c r="W70" s="95"/>
    </row>
    <row r="71" spans="2:22" ht="13.5" thickTop="1">
      <c r="B71" s="38"/>
      <c r="C71" s="57"/>
      <c r="D71" s="57"/>
      <c r="E71" s="76"/>
      <c r="F71" s="38"/>
      <c r="G71" s="29"/>
      <c r="Q71" s="38"/>
      <c r="R71" s="57"/>
      <c r="S71" s="57"/>
      <c r="T71" s="76"/>
      <c r="U71" s="38"/>
      <c r="V71" s="29"/>
    </row>
    <row r="72" ht="15">
      <c r="K72" s="208"/>
    </row>
    <row r="73" spans="1:23" ht="12.75">
      <c r="A73" s="29"/>
      <c r="B73" s="29"/>
      <c r="C73" s="29"/>
      <c r="D73" s="29"/>
      <c r="E73" s="29"/>
      <c r="F73" s="29"/>
      <c r="G73" s="29"/>
      <c r="H73" s="29"/>
      <c r="P73" s="29"/>
      <c r="Q73" s="29"/>
      <c r="R73" s="29"/>
      <c r="S73" s="29"/>
      <c r="T73" s="29"/>
      <c r="U73" s="29"/>
      <c r="V73" s="29"/>
      <c r="W73" s="29"/>
    </row>
    <row r="74" spans="1:23" ht="12.75">
      <c r="A74" s="29"/>
      <c r="B74" s="29"/>
      <c r="C74" s="29"/>
      <c r="D74" s="29"/>
      <c r="E74" s="29"/>
      <c r="F74" s="29"/>
      <c r="G74" s="29"/>
      <c r="H74" s="29"/>
      <c r="P74" s="29"/>
      <c r="Q74" s="29"/>
      <c r="R74" s="29"/>
      <c r="S74" s="29"/>
      <c r="T74" s="29"/>
      <c r="U74" s="29"/>
      <c r="V74" s="29"/>
      <c r="W74" s="29"/>
    </row>
    <row r="75" spans="1:23" ht="12.75">
      <c r="A75" s="45"/>
      <c r="B75" s="39"/>
      <c r="C75" s="29"/>
      <c r="D75" s="31"/>
      <c r="E75" s="29"/>
      <c r="F75" s="29"/>
      <c r="G75" s="29"/>
      <c r="H75" s="29"/>
      <c r="P75" s="45"/>
      <c r="Q75" s="39"/>
      <c r="R75" s="29"/>
      <c r="S75" s="31"/>
      <c r="T75" s="29"/>
      <c r="U75" s="29"/>
      <c r="V75" s="29"/>
      <c r="W75" s="29"/>
    </row>
    <row r="76" spans="1:23" ht="12.75">
      <c r="A76" s="29"/>
      <c r="B76" s="29"/>
      <c r="C76" s="29"/>
      <c r="D76" s="29"/>
      <c r="E76" s="29"/>
      <c r="F76" s="29"/>
      <c r="G76" s="29"/>
      <c r="H76" s="29"/>
      <c r="P76" s="29"/>
      <c r="Q76" s="29"/>
      <c r="R76" s="29"/>
      <c r="S76" s="29"/>
      <c r="T76" s="29"/>
      <c r="U76" s="29"/>
      <c r="V76" s="29"/>
      <c r="W76" s="29"/>
    </row>
    <row r="77" spans="1:23" ht="12.75">
      <c r="A77" s="29"/>
      <c r="B77" s="46"/>
      <c r="C77" s="28"/>
      <c r="D77" s="35"/>
      <c r="E77" s="28"/>
      <c r="F77" s="40"/>
      <c r="G77" s="29"/>
      <c r="H77" s="29"/>
      <c r="P77" s="29"/>
      <c r="Q77" s="46"/>
      <c r="R77" s="28"/>
      <c r="S77" s="35"/>
      <c r="T77" s="28"/>
      <c r="U77" s="40"/>
      <c r="V77" s="29"/>
      <c r="W77" s="29"/>
    </row>
    <row r="78" spans="1:23" ht="12.75">
      <c r="A78" s="29"/>
      <c r="B78" s="29"/>
      <c r="C78" s="37"/>
      <c r="D78" s="35"/>
      <c r="E78" s="29"/>
      <c r="F78" s="29"/>
      <c r="G78" s="29"/>
      <c r="H78" s="29"/>
      <c r="P78" s="29"/>
      <c r="Q78" s="29"/>
      <c r="R78" s="37"/>
      <c r="S78" s="35"/>
      <c r="T78" s="29"/>
      <c r="U78" s="29"/>
      <c r="V78" s="29"/>
      <c r="W78" s="29"/>
    </row>
    <row r="79" spans="1:23" ht="12.75">
      <c r="A79" s="29"/>
      <c r="B79" s="29"/>
      <c r="C79" s="28"/>
      <c r="D79" s="44"/>
      <c r="E79" s="31"/>
      <c r="F79" s="47"/>
      <c r="G79" s="29"/>
      <c r="H79" s="29"/>
      <c r="P79" s="29"/>
      <c r="Q79" s="29"/>
      <c r="R79" s="28"/>
      <c r="S79" s="44"/>
      <c r="T79" s="31"/>
      <c r="U79" s="47"/>
      <c r="V79" s="29"/>
      <c r="W79" s="29"/>
    </row>
    <row r="80" spans="1:23" ht="12.75">
      <c r="A80" s="29"/>
      <c r="B80" s="29"/>
      <c r="C80" s="29"/>
      <c r="D80" s="29"/>
      <c r="E80" s="29"/>
      <c r="F80" s="29"/>
      <c r="G80" s="29"/>
      <c r="H80" s="29"/>
      <c r="P80" s="29"/>
      <c r="Q80" s="29"/>
      <c r="R80" s="29"/>
      <c r="S80" s="29"/>
      <c r="T80" s="29"/>
      <c r="U80" s="29"/>
      <c r="V80" s="29"/>
      <c r="W80" s="29"/>
    </row>
    <row r="81" spans="1:23" ht="12.75">
      <c r="A81" s="29"/>
      <c r="B81" s="29"/>
      <c r="C81" s="29"/>
      <c r="D81" s="29"/>
      <c r="E81" s="29"/>
      <c r="F81" s="29"/>
      <c r="G81" s="29"/>
      <c r="H81" s="29"/>
      <c r="P81" s="29"/>
      <c r="Q81" s="29"/>
      <c r="R81" s="29"/>
      <c r="S81" s="29"/>
      <c r="T81" s="29"/>
      <c r="U81" s="29"/>
      <c r="V81" s="29"/>
      <c r="W81" s="29"/>
    </row>
    <row r="82" ht="12.75"/>
    <row r="83" ht="12.75"/>
    <row r="84" ht="12.75"/>
    <row r="85" ht="12.75"/>
    <row r="86" ht="12.75"/>
    <row r="87" ht="12.75"/>
    <row r="88" ht="12.75"/>
    <row r="89" ht="12.75"/>
  </sheetData>
  <sheetProtection/>
  <conditionalFormatting sqref="G52">
    <cfRule type="expression" priority="24" dxfId="1" stopIfTrue="1">
      <formula>$G$52&lt;&gt;""</formula>
    </cfRule>
  </conditionalFormatting>
  <conditionalFormatting sqref="G70">
    <cfRule type="expression" priority="23" dxfId="1" stopIfTrue="1">
      <formula>#REF!&lt;&gt;""</formula>
    </cfRule>
  </conditionalFormatting>
  <conditionalFormatting sqref="G37">
    <cfRule type="expression" priority="26" dxfId="1" stopIfTrue="1">
      <formula>$G$37&lt;&gt;""</formula>
    </cfRule>
  </conditionalFormatting>
  <conditionalFormatting sqref="G70">
    <cfRule type="expression" priority="22" dxfId="1" stopIfTrue="1">
      <formula>$G$70&lt;&gt;""</formula>
    </cfRule>
  </conditionalFormatting>
  <conditionalFormatting sqref="B4">
    <cfRule type="expression" priority="62" dxfId="1" stopIfTrue="1">
      <formula>$L$40</formula>
    </cfRule>
  </conditionalFormatting>
  <dataValidations count="3">
    <dataValidation type="list" allowBlank="1" showInputMessage="1" showErrorMessage="1" sqref="B4">
      <formula1>INDIRECT("Profile!C"&amp;L38&amp;":C"&amp;L39)</formula1>
    </dataValidation>
    <dataValidation type="list" allowBlank="1" showInputMessage="1" showErrorMessage="1" sqref="E8">
      <formula1>"S235,S355"</formula1>
    </dataValidation>
    <dataValidation type="list" allowBlank="1" showInputMessage="1" showErrorMessage="1" sqref="A4">
      <formula1>"IPE,IPEo,IPEv,HEAA,HEA,HEB,HEM"</formula1>
    </dataValidation>
  </dataValidations>
  <hyperlinks>
    <hyperlink ref="E1" location="BDK!P1:W70" tooltip="Druckbereich anzeigen" display="Auswahl der Eingabefelder mit der Tabulatortast - Druckbereich ab Spalte P --&gt;"/>
    <hyperlink ref="O1" location="BDK!A1" tooltip="zur Eingabemaske" display="&lt;-- zurück"/>
    <hyperlink ref="J70" r:id="rId1" tooltip="Webseite öffnen" display="DIN1055.de - Software"/>
    <hyperlink ref="M70" r:id="rId2" tooltip="E-Mail senden an: Info@DIN1055.de" display="Kontakt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6"/>
  <headerFooter alignWithMargins="0">
    <oddHeader>&amp;C&amp;8bdk_v017</oddHead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11.421875" defaultRowHeight="12.75" outlineLevelRow="2" outlineLevelCol="3"/>
  <cols>
    <col min="1" max="1" width="6.140625" style="5" customWidth="1"/>
    <col min="2" max="2" width="9.7109375" style="5" customWidth="1"/>
    <col min="3" max="3" width="8.7109375" style="5" customWidth="1" outlineLevel="2"/>
    <col min="4" max="9" width="5.7109375" style="5" customWidth="1" outlineLevel="2"/>
    <col min="10" max="10" width="1.7109375" style="5" customWidth="1" outlineLevel="1"/>
    <col min="11" max="11" width="5.7109375" style="5" customWidth="1" outlineLevel="3"/>
    <col min="12" max="12" width="7.7109375" style="5" customWidth="1" outlineLevel="3"/>
    <col min="13" max="14" width="5.7109375" style="5" customWidth="1" outlineLevel="3"/>
    <col min="15" max="16" width="6.28125" style="5" customWidth="1" outlineLevel="3"/>
    <col min="17" max="17" width="5.7109375" style="5" customWidth="1" outlineLevel="3"/>
    <col min="18" max="18" width="6.57421875" style="5" customWidth="1" outlineLevel="3"/>
    <col min="19" max="20" width="7.8515625" style="5" customWidth="1" outlineLevel="3"/>
    <col min="21" max="21" width="7.7109375" style="5" customWidth="1" outlineLevel="3"/>
    <col min="22" max="22" width="1.7109375" style="5" customWidth="1" outlineLevel="1"/>
    <col min="23" max="24" width="5.7109375" style="5" customWidth="1" outlineLevel="1"/>
    <col min="25" max="25" width="6.57421875" style="5" customWidth="1" outlineLevel="1"/>
    <col min="26" max="26" width="5.7109375" style="5" customWidth="1" outlineLevel="1"/>
    <col min="27" max="27" width="7.57421875" style="5" customWidth="1" outlineLevel="1"/>
    <col min="28" max="28" width="9.28125" style="5" customWidth="1" outlineLevel="1"/>
    <col min="29" max="29" width="7.7109375" style="5" customWidth="1" outlineLevel="1"/>
    <col min="30" max="30" width="1.7109375" style="5" customWidth="1" outlineLevel="1"/>
    <col min="31" max="44" width="8.7109375" style="5" customWidth="1"/>
    <col min="45" max="16384" width="11.421875" style="5" customWidth="1"/>
  </cols>
  <sheetData>
    <row r="1" spans="2:35" ht="12.75">
      <c r="B1" s="17" t="s">
        <v>0</v>
      </c>
      <c r="D1" s="5" t="s">
        <v>52</v>
      </c>
      <c r="G1" s="11">
        <v>81000</v>
      </c>
      <c r="H1" s="5" t="s">
        <v>53</v>
      </c>
      <c r="I1" s="11"/>
      <c r="K1" s="5" t="s">
        <v>51</v>
      </c>
      <c r="M1" s="211">
        <v>210000</v>
      </c>
      <c r="N1" s="211"/>
      <c r="O1" s="5" t="s">
        <v>53</v>
      </c>
      <c r="P1" s="11"/>
      <c r="R1" s="5" t="s">
        <v>102</v>
      </c>
      <c r="T1" s="5">
        <v>78.5</v>
      </c>
      <c r="U1" s="5" t="s">
        <v>103</v>
      </c>
      <c r="AH1" s="18" t="s">
        <v>144</v>
      </c>
      <c r="AI1" s="5">
        <v>1.1</v>
      </c>
    </row>
    <row r="2" spans="2:31" ht="12.75">
      <c r="B2" s="186" t="s">
        <v>251</v>
      </c>
      <c r="C2" s="23" t="str">
        <f>"Spalte "&amp;COLUMN()</f>
        <v>Spalte 3</v>
      </c>
      <c r="K2" s="23" t="str">
        <f>"Spalte "&amp;COLUMN()</f>
        <v>Spalte 11</v>
      </c>
      <c r="W2" s="23" t="str">
        <f>"Spalte "&amp;COLUMN()</f>
        <v>Spalte 23</v>
      </c>
      <c r="AE2" s="23" t="str">
        <f>"Spalte "&amp;COLUMN()</f>
        <v>Spalte 31</v>
      </c>
    </row>
    <row r="3" spans="2:44" ht="12.75">
      <c r="B3" s="187">
        <v>200</v>
      </c>
      <c r="C3" s="210" t="s">
        <v>108</v>
      </c>
      <c r="D3" s="210"/>
      <c r="E3" s="210"/>
      <c r="F3" s="210"/>
      <c r="G3" s="210"/>
      <c r="H3" s="210"/>
      <c r="I3" s="210"/>
      <c r="J3" s="3"/>
      <c r="K3" s="210" t="s">
        <v>110</v>
      </c>
      <c r="L3" s="210"/>
      <c r="M3" s="210"/>
      <c r="N3" s="210"/>
      <c r="O3" s="210"/>
      <c r="P3" s="210"/>
      <c r="Q3" s="210"/>
      <c r="R3" s="210"/>
      <c r="S3" s="210"/>
      <c r="T3" s="181"/>
      <c r="U3" s="15"/>
      <c r="V3" s="3"/>
      <c r="W3" s="14" t="s">
        <v>109</v>
      </c>
      <c r="X3" s="14"/>
      <c r="Y3" s="14"/>
      <c r="Z3" s="14"/>
      <c r="AA3" s="14"/>
      <c r="AB3" s="14"/>
      <c r="AC3" s="14"/>
      <c r="AD3" s="3"/>
      <c r="AE3" s="14" t="s">
        <v>139</v>
      </c>
      <c r="AF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93"/>
      <c r="AR3" s="93"/>
    </row>
    <row r="4" spans="1:44" ht="49.5" customHeight="1">
      <c r="A4" s="48" t="s">
        <v>150</v>
      </c>
      <c r="B4" s="7" t="s">
        <v>107</v>
      </c>
      <c r="C4" s="9" t="s">
        <v>106</v>
      </c>
      <c r="D4" s="7" t="s">
        <v>2</v>
      </c>
      <c r="E4" s="7" t="s">
        <v>1</v>
      </c>
      <c r="F4" s="7" t="s">
        <v>12</v>
      </c>
      <c r="G4" s="7" t="s">
        <v>13</v>
      </c>
      <c r="H4" s="7" t="s">
        <v>14</v>
      </c>
      <c r="I4" s="7" t="s">
        <v>15</v>
      </c>
      <c r="J4" s="7"/>
      <c r="K4" s="7" t="s">
        <v>16</v>
      </c>
      <c r="L4" s="7" t="s">
        <v>18</v>
      </c>
      <c r="M4" s="7" t="s">
        <v>19</v>
      </c>
      <c r="N4" s="19" t="s">
        <v>166</v>
      </c>
      <c r="O4" s="7" t="s">
        <v>23</v>
      </c>
      <c r="P4" s="7" t="s">
        <v>24</v>
      </c>
      <c r="Q4" s="19" t="s">
        <v>167</v>
      </c>
      <c r="R4" s="7" t="s">
        <v>26</v>
      </c>
      <c r="S4" s="7" t="s">
        <v>104</v>
      </c>
      <c r="T4" s="183" t="s">
        <v>252</v>
      </c>
      <c r="U4" s="7" t="s">
        <v>10</v>
      </c>
      <c r="V4" s="7"/>
      <c r="W4" s="9" t="s">
        <v>28</v>
      </c>
      <c r="X4" s="9" t="s">
        <v>47</v>
      </c>
      <c r="Y4" s="7" t="s">
        <v>48</v>
      </c>
      <c r="Z4" s="10" t="s">
        <v>49</v>
      </c>
      <c r="AA4" s="10" t="s">
        <v>9</v>
      </c>
      <c r="AB4" s="7" t="s">
        <v>4</v>
      </c>
      <c r="AC4" s="7" t="s">
        <v>7</v>
      </c>
      <c r="AD4" s="7"/>
      <c r="AE4" s="19" t="s">
        <v>130</v>
      </c>
      <c r="AF4" s="19" t="s">
        <v>131</v>
      </c>
      <c r="AG4" s="19" t="s">
        <v>132</v>
      </c>
      <c r="AH4" s="19" t="s">
        <v>133</v>
      </c>
      <c r="AI4" s="19" t="s">
        <v>135</v>
      </c>
      <c r="AJ4" s="19" t="s">
        <v>136</v>
      </c>
      <c r="AK4" s="19" t="s">
        <v>137</v>
      </c>
      <c r="AL4" s="19" t="s">
        <v>138</v>
      </c>
      <c r="AM4" s="19" t="s">
        <v>140</v>
      </c>
      <c r="AN4" s="19" t="s">
        <v>141</v>
      </c>
      <c r="AO4" s="19" t="s">
        <v>142</v>
      </c>
      <c r="AP4" s="19" t="s">
        <v>143</v>
      </c>
      <c r="AQ4" s="19" t="s">
        <v>145</v>
      </c>
      <c r="AR4" s="19" t="s">
        <v>146</v>
      </c>
    </row>
    <row r="5" spans="2:44" ht="14.25">
      <c r="B5" s="21"/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/>
      <c r="K5" s="3" t="s">
        <v>17</v>
      </c>
      <c r="L5" s="3" t="s">
        <v>6</v>
      </c>
      <c r="M5" s="3" t="s">
        <v>20</v>
      </c>
      <c r="N5" s="3" t="s">
        <v>22</v>
      </c>
      <c r="O5" s="3" t="s">
        <v>6</v>
      </c>
      <c r="P5" s="3" t="s">
        <v>20</v>
      </c>
      <c r="Q5" s="3" t="s">
        <v>22</v>
      </c>
      <c r="R5" s="3" t="s">
        <v>20</v>
      </c>
      <c r="S5" s="3" t="s">
        <v>20</v>
      </c>
      <c r="T5" s="182" t="s">
        <v>253</v>
      </c>
      <c r="U5" s="3" t="s">
        <v>27</v>
      </c>
      <c r="V5" s="3"/>
      <c r="W5" s="9" t="s">
        <v>105</v>
      </c>
      <c r="X5" s="3" t="s">
        <v>105</v>
      </c>
      <c r="Y5" s="3" t="s">
        <v>17</v>
      </c>
      <c r="Z5" s="3" t="s">
        <v>17</v>
      </c>
      <c r="AA5" s="3" t="s">
        <v>50</v>
      </c>
      <c r="AB5" s="3" t="s">
        <v>5</v>
      </c>
      <c r="AC5" s="3" t="s">
        <v>6</v>
      </c>
      <c r="AD5" s="3"/>
      <c r="AE5" s="20" t="s">
        <v>129</v>
      </c>
      <c r="AF5" s="20" t="s">
        <v>129</v>
      </c>
      <c r="AG5" s="22" t="s">
        <v>134</v>
      </c>
      <c r="AH5" s="22" t="s">
        <v>134</v>
      </c>
      <c r="AI5" s="22" t="s">
        <v>134</v>
      </c>
      <c r="AJ5" s="22" t="s">
        <v>134</v>
      </c>
      <c r="AK5" s="22" t="s">
        <v>134</v>
      </c>
      <c r="AL5" s="22" t="s">
        <v>134</v>
      </c>
      <c r="AM5" s="22" t="s">
        <v>129</v>
      </c>
      <c r="AN5" s="22" t="s">
        <v>129</v>
      </c>
      <c r="AO5" s="22" t="s">
        <v>129</v>
      </c>
      <c r="AP5" s="22" t="s">
        <v>129</v>
      </c>
      <c r="AQ5" s="182" t="s">
        <v>20</v>
      </c>
      <c r="AR5" s="182" t="s">
        <v>20</v>
      </c>
    </row>
    <row r="6" spans="1:44" ht="12.75" customHeight="1" outlineLevel="1">
      <c r="A6" s="18" t="s">
        <v>151</v>
      </c>
      <c r="B6" s="16" t="s">
        <v>36</v>
      </c>
      <c r="C6" s="3">
        <v>80</v>
      </c>
      <c r="D6" s="3">
        <v>80</v>
      </c>
      <c r="E6" s="3">
        <v>46</v>
      </c>
      <c r="F6" s="3">
        <v>3.8</v>
      </c>
      <c r="G6" s="3">
        <v>5.2</v>
      </c>
      <c r="H6" s="3">
        <v>5</v>
      </c>
      <c r="I6" s="3">
        <f aca="true" t="shared" si="0" ref="I6:I14">ROUNDDOWN(D6-2*G6-2*H6,0)</f>
        <v>59</v>
      </c>
      <c r="J6" s="3"/>
      <c r="K6" s="4">
        <f aca="true" t="shared" si="1" ref="K6:K14">((D6-2*G6)*F6+2*E6*G6+((2*H6)^2-H6^2*PI()))/100</f>
        <v>7.6434018366025525</v>
      </c>
      <c r="L6" s="1">
        <v>80.1</v>
      </c>
      <c r="M6" s="1">
        <f>2*L6/(D6/10)</f>
        <v>20.025</v>
      </c>
      <c r="N6" s="4">
        <f>SQRT(L6/K6)</f>
        <v>3.2372251954648665</v>
      </c>
      <c r="O6" s="3">
        <v>8.49</v>
      </c>
      <c r="P6" s="4">
        <f>2*O6/(E6/10)</f>
        <v>3.691304347826087</v>
      </c>
      <c r="Q6" s="4">
        <f>SQRT(O6/K6)</f>
        <v>1.053926923146843</v>
      </c>
      <c r="R6" s="1">
        <f>((E6*G6*(D6-G6)/2)+((D6-2*G6)*F6/2*(D6/2-G6)/2)+((H6^2-H6^2*PI()/4)*2*(D6/2-G6-0.22337*H6)))*1/1000</f>
        <v>11.608479292627962</v>
      </c>
      <c r="S6" s="1">
        <f aca="true" t="shared" si="2" ref="S6:S55">((2*(E6/2*G6*E6/4))+(F6/2*(D6-2*G6)*F6/4)+(2*0.2146*H6^2*(F6/2+0.22337*H6)))*1/1000</f>
        <v>2.9087988005</v>
      </c>
      <c r="T6" s="8">
        <f aca="true" t="shared" si="3" ref="T6:T55">(2*E6+4*G6+2*I6-4*H6/2+2*H6*PI()+2*(E6-F6-2*H6/2))/1000</f>
        <v>0.326615926535898</v>
      </c>
      <c r="U6" s="8">
        <f aca="true" t="shared" si="4" ref="U6:U55">$T$1*K6/10000</f>
        <v>0.06000070441733004</v>
      </c>
      <c r="V6" s="8"/>
      <c r="W6" s="1">
        <f aca="true" t="shared" si="5" ref="W6:W55">(D6-2*G6-2*H6)/F6</f>
        <v>15.68421052631579</v>
      </c>
      <c r="X6" s="4">
        <f aca="true" t="shared" si="6" ref="X6:X55">(E6/2-F6/2-H6)/G6</f>
        <v>3.0961538461538463</v>
      </c>
      <c r="Y6" s="4">
        <f aca="true" t="shared" si="7" ref="Y6:Y55">(D6-G6)*F6/100</f>
        <v>2.8423999999999996</v>
      </c>
      <c r="Z6" s="4">
        <f aca="true" t="shared" si="8" ref="Z6:Z55">0.25*(D6-G6)*E6/100</f>
        <v>8.601999999999999</v>
      </c>
      <c r="AA6" s="6">
        <f aca="true" t="shared" si="9" ref="AA6:AA55">SQRT($G$1/100*AC6/($M$1/100*AB6*10^3))</f>
        <v>0.047755698144185545</v>
      </c>
      <c r="AB6" s="8">
        <f aca="true" t="shared" si="10" ref="AB6:AB55">G6*E6^3*(D6-G6)^2/24000000000</f>
        <v>0.11799640957866667</v>
      </c>
      <c r="AC6" s="4">
        <f aca="true" t="shared" si="11" ref="AC6:AC55">(2/3*G6^3*(E6-0.63*G6)+F6^3/3*(D6-2*G6)+(((H6+F6/2)^2+(H6+G6)^2-H6^2)/(2*H6+G6))^4*2*F6/G6*(0.145+0.1*H6/G6))/10000</f>
        <v>0.697675488946031</v>
      </c>
      <c r="AD6" s="8"/>
      <c r="AE6" s="2">
        <f aca="true" t="shared" si="12" ref="AE6:AE55">24/$AI$1*K6</f>
        <v>166.76513098041931</v>
      </c>
      <c r="AF6" s="2">
        <f>36/$AI$1*K6</f>
        <v>250.14769647062897</v>
      </c>
      <c r="AG6" s="1">
        <f aca="true" t="shared" si="13" ref="AG6:AG55">MAX(24/$AI$1*2*R6,1.14*24/$AI$1*M6)/100</f>
        <v>5.06551823678311</v>
      </c>
      <c r="AH6" s="1">
        <f aca="true" t="shared" si="14" ref="AH6:AH55">1.5*AG6</f>
        <v>7.598277355174666</v>
      </c>
      <c r="AI6" s="1">
        <f aca="true" t="shared" si="15" ref="AI6:AI55">24/$AI$1*2*S6/100</f>
        <v>1.2692940220363635</v>
      </c>
      <c r="AJ6" s="1">
        <f aca="true" t="shared" si="16" ref="AJ6:AJ55">1.25*24/$AI$1*P6/100</f>
        <v>1.0067193675889328</v>
      </c>
      <c r="AK6" s="1">
        <f>1.5*AI6</f>
        <v>1.9039410330545454</v>
      </c>
      <c r="AL6" s="1">
        <f>1.5*AJ6</f>
        <v>1.510079051383399</v>
      </c>
      <c r="AM6" s="1">
        <f aca="true" t="shared" si="17" ref="AM6:AM55">24/(SQRT(3)*$AI$1)*(D6-G6)*F6/100</f>
        <v>35.804954294063826</v>
      </c>
      <c r="AN6" s="1">
        <f>1.5*AM6</f>
        <v>53.707431441095736</v>
      </c>
      <c r="AO6" s="1">
        <f aca="true" t="shared" si="18" ref="AO6:AO55">24/(SQRT(3)*$AI$1)*2*E6*G6/100</f>
        <v>60.26277137025097</v>
      </c>
      <c r="AP6" s="1">
        <f>1.5*AO6</f>
        <v>90.39415705537645</v>
      </c>
      <c r="AQ6" s="1">
        <f>2*R6</f>
        <v>23.216958585255924</v>
      </c>
      <c r="AR6" s="1">
        <f aca="true" t="shared" si="19" ref="AR6:AR55">2*S6</f>
        <v>5.817597601</v>
      </c>
    </row>
    <row r="7" spans="2:44" ht="12.75" customHeight="1" outlineLevel="2">
      <c r="B7" s="11" t="s">
        <v>37</v>
      </c>
      <c r="C7" s="3">
        <v>100</v>
      </c>
      <c r="D7" s="3">
        <v>100</v>
      </c>
      <c r="E7" s="3">
        <v>55</v>
      </c>
      <c r="F7" s="3">
        <v>4.1</v>
      </c>
      <c r="G7" s="3">
        <v>5.7</v>
      </c>
      <c r="H7" s="3">
        <v>7</v>
      </c>
      <c r="I7" s="3">
        <f t="shared" si="0"/>
        <v>74</v>
      </c>
      <c r="J7" s="3"/>
      <c r="K7" s="1">
        <f t="shared" si="1"/>
        <v>10.323219599741002</v>
      </c>
      <c r="L7" s="2">
        <v>171</v>
      </c>
      <c r="M7" s="1">
        <f aca="true" t="shared" si="20" ref="M7:M65">2*L7/(D7/10)</f>
        <v>34.2</v>
      </c>
      <c r="N7" s="4">
        <f aca="true" t="shared" si="21" ref="N7:N65">SQRT(L7/K7)</f>
        <v>4.069963104550413</v>
      </c>
      <c r="O7" s="3">
        <v>15.9</v>
      </c>
      <c r="P7" s="4">
        <f aca="true" t="shared" si="22" ref="P7:P65">2*O7/(E7/10)</f>
        <v>5.781818181818182</v>
      </c>
      <c r="Q7" s="4">
        <f aca="true" t="shared" si="23" ref="Q7:Q65">SQRT(O7/K7)</f>
        <v>1.241054858788102</v>
      </c>
      <c r="R7" s="1">
        <f aca="true" t="shared" si="24" ref="R7:R88">((E7*G7*(D7-G7)/2)+((D7-2*G7)*F7/2*(D7/2-G7)/2)+((H7^2-H7^2*PI()/4)*2*(D7/2-G7-0.22337*H7)))*1/1000</f>
        <v>19.703418083428364</v>
      </c>
      <c r="S7" s="1">
        <f t="shared" si="2"/>
        <v>4.572792438572</v>
      </c>
      <c r="T7" s="8">
        <f t="shared" si="3"/>
        <v>0.39858229715025717</v>
      </c>
      <c r="U7" s="8">
        <f t="shared" si="4"/>
        <v>0.08103727385796686</v>
      </c>
      <c r="V7" s="8"/>
      <c r="W7" s="1">
        <f t="shared" si="5"/>
        <v>18.195121951219512</v>
      </c>
      <c r="X7" s="4">
        <f t="shared" si="6"/>
        <v>3.2368421052631575</v>
      </c>
      <c r="Y7" s="4">
        <f t="shared" si="7"/>
        <v>3.8662999999999994</v>
      </c>
      <c r="Z7" s="4">
        <f t="shared" si="8"/>
        <v>12.96625</v>
      </c>
      <c r="AA7" s="6">
        <f t="shared" si="9"/>
        <v>0.036324652520644256</v>
      </c>
      <c r="AB7" s="8">
        <f t="shared" si="10"/>
        <v>0.351378405640625</v>
      </c>
      <c r="AC7" s="4">
        <f t="shared" si="11"/>
        <v>1.2020216248974762</v>
      </c>
      <c r="AD7" s="8"/>
      <c r="AE7" s="2">
        <f t="shared" si="12"/>
        <v>225.2338821761673</v>
      </c>
      <c r="AF7" s="2">
        <f aca="true" t="shared" si="25" ref="AF7:AF55">36/$AI$1*K7</f>
        <v>337.85082326425095</v>
      </c>
      <c r="AG7" s="1">
        <f t="shared" si="13"/>
        <v>8.597855163677831</v>
      </c>
      <c r="AH7" s="1">
        <f t="shared" si="14"/>
        <v>12.896782745516747</v>
      </c>
      <c r="AI7" s="1">
        <f t="shared" si="15"/>
        <v>1.995400336831418</v>
      </c>
      <c r="AJ7" s="1">
        <f t="shared" si="16"/>
        <v>1.5768595041322313</v>
      </c>
      <c r="AK7" s="1">
        <f aca="true" t="shared" si="26" ref="AK7:AK83">1.5*AI7</f>
        <v>2.993100505247127</v>
      </c>
      <c r="AL7" s="1">
        <f aca="true" t="shared" si="27" ref="AL7:AL83">1.5*AJ7</f>
        <v>2.3652892561983467</v>
      </c>
      <c r="AM7" s="1">
        <f t="shared" si="17"/>
        <v>48.70274936220763</v>
      </c>
      <c r="AN7" s="1">
        <f aca="true" t="shared" si="28" ref="AN7:AN88">1.5*AM7</f>
        <v>73.05412404331145</v>
      </c>
      <c r="AO7" s="1">
        <f t="shared" si="18"/>
        <v>78.9815168251408</v>
      </c>
      <c r="AP7" s="1">
        <f aca="true" t="shared" si="29" ref="AP7:AP88">1.5*AO7</f>
        <v>118.4722752377112</v>
      </c>
      <c r="AQ7" s="1">
        <f aca="true" t="shared" si="30" ref="AQ7:AQ88">2*R7</f>
        <v>39.40683616685673</v>
      </c>
      <c r="AR7" s="1">
        <f t="shared" si="19"/>
        <v>9.145584877144</v>
      </c>
    </row>
    <row r="8" spans="2:44" ht="12.75" customHeight="1" outlineLevel="2">
      <c r="B8" s="11" t="s">
        <v>38</v>
      </c>
      <c r="C8" s="3">
        <v>120</v>
      </c>
      <c r="D8" s="3">
        <v>120</v>
      </c>
      <c r="E8" s="3">
        <v>64</v>
      </c>
      <c r="F8" s="3">
        <v>4.4</v>
      </c>
      <c r="G8" s="3">
        <v>6.3</v>
      </c>
      <c r="H8" s="3">
        <v>7</v>
      </c>
      <c r="I8" s="3">
        <f t="shared" si="0"/>
        <v>93</v>
      </c>
      <c r="J8" s="3"/>
      <c r="K8" s="1">
        <f t="shared" si="1"/>
        <v>13.210219599741002</v>
      </c>
      <c r="L8" s="2">
        <v>318</v>
      </c>
      <c r="M8" s="1">
        <f t="shared" si="20"/>
        <v>53</v>
      </c>
      <c r="N8" s="4">
        <f t="shared" si="21"/>
        <v>4.906350175698615</v>
      </c>
      <c r="O8" s="3">
        <v>27.7</v>
      </c>
      <c r="P8" s="4">
        <f t="shared" si="22"/>
        <v>8.65625</v>
      </c>
      <c r="Q8" s="4">
        <f t="shared" si="23"/>
        <v>1.448054361199216</v>
      </c>
      <c r="R8" s="1">
        <f t="shared" si="24"/>
        <v>30.362517795306637</v>
      </c>
      <c r="S8" s="1">
        <f t="shared" si="2"/>
        <v>6.790259308572</v>
      </c>
      <c r="T8" s="8">
        <f t="shared" si="3"/>
        <v>0.4743822971502571</v>
      </c>
      <c r="U8" s="8">
        <f t="shared" si="4"/>
        <v>0.10370022385796687</v>
      </c>
      <c r="V8" s="8"/>
      <c r="W8" s="1">
        <f t="shared" si="5"/>
        <v>21.227272727272727</v>
      </c>
      <c r="X8" s="4">
        <f t="shared" si="6"/>
        <v>3.619047619047619</v>
      </c>
      <c r="Y8" s="4">
        <f t="shared" si="7"/>
        <v>5.002800000000001</v>
      </c>
      <c r="Z8" s="4">
        <f t="shared" si="8"/>
        <v>18.192</v>
      </c>
      <c r="AA8" s="6">
        <f t="shared" si="9"/>
        <v>0.027431252645698928</v>
      </c>
      <c r="AB8" s="4">
        <f t="shared" si="10"/>
        <v>0.889590546432</v>
      </c>
      <c r="AC8" s="4">
        <f t="shared" si="11"/>
        <v>1.7354644230378269</v>
      </c>
      <c r="AD8" s="8"/>
      <c r="AE8" s="2">
        <f t="shared" si="12"/>
        <v>288.2229730852582</v>
      </c>
      <c r="AF8" s="2">
        <f t="shared" si="25"/>
        <v>432.3344596278873</v>
      </c>
      <c r="AG8" s="1">
        <f t="shared" si="13"/>
        <v>13.249098674315622</v>
      </c>
      <c r="AH8" s="1">
        <f t="shared" si="14"/>
        <v>19.873648011473435</v>
      </c>
      <c r="AI8" s="1">
        <f t="shared" si="15"/>
        <v>2.9630222437405087</v>
      </c>
      <c r="AJ8" s="1">
        <f t="shared" si="16"/>
        <v>2.3607954545454546</v>
      </c>
      <c r="AK8" s="1">
        <f t="shared" si="26"/>
        <v>4.444533365610763</v>
      </c>
      <c r="AL8" s="1">
        <f t="shared" si="27"/>
        <v>3.5411931818181817</v>
      </c>
      <c r="AM8" s="1">
        <f t="shared" si="17"/>
        <v>63.018936582586036</v>
      </c>
      <c r="AN8" s="1">
        <f t="shared" si="28"/>
        <v>94.52840487387905</v>
      </c>
      <c r="AO8" s="1">
        <f t="shared" si="18"/>
        <v>101.58005608898492</v>
      </c>
      <c r="AP8" s="1">
        <f t="shared" si="29"/>
        <v>152.37008413347738</v>
      </c>
      <c r="AQ8" s="1">
        <f t="shared" si="30"/>
        <v>60.725035590613274</v>
      </c>
      <c r="AR8" s="1">
        <f t="shared" si="19"/>
        <v>13.580518617144</v>
      </c>
    </row>
    <row r="9" spans="2:44" ht="12.75" customHeight="1" outlineLevel="2">
      <c r="B9" s="11" t="s">
        <v>39</v>
      </c>
      <c r="C9" s="3">
        <v>140</v>
      </c>
      <c r="D9" s="3">
        <v>140</v>
      </c>
      <c r="E9" s="3">
        <v>73</v>
      </c>
      <c r="F9" s="3">
        <v>4.7</v>
      </c>
      <c r="G9" s="3">
        <v>6.9</v>
      </c>
      <c r="H9" s="3">
        <v>7</v>
      </c>
      <c r="I9" s="3">
        <f t="shared" si="0"/>
        <v>112</v>
      </c>
      <c r="J9" s="3"/>
      <c r="K9" s="1">
        <f t="shared" si="1"/>
        <v>16.426019599741</v>
      </c>
      <c r="L9" s="2">
        <v>541</v>
      </c>
      <c r="M9" s="1">
        <f t="shared" si="20"/>
        <v>77.28571428571429</v>
      </c>
      <c r="N9" s="4">
        <f t="shared" si="21"/>
        <v>5.738950306392817</v>
      </c>
      <c r="O9" s="3">
        <v>44.9</v>
      </c>
      <c r="P9" s="1">
        <f t="shared" si="22"/>
        <v>12.301369863013699</v>
      </c>
      <c r="Q9" s="4">
        <f t="shared" si="23"/>
        <v>1.6533203151032176</v>
      </c>
      <c r="R9" s="1">
        <f t="shared" si="24"/>
        <v>44.1721895071849</v>
      </c>
      <c r="S9" s="1">
        <f t="shared" si="2"/>
        <v>9.623300678572</v>
      </c>
      <c r="T9" s="8">
        <f t="shared" si="3"/>
        <v>0.5501822971502571</v>
      </c>
      <c r="U9" s="8">
        <f t="shared" si="4"/>
        <v>0.12894425385796685</v>
      </c>
      <c r="V9" s="8"/>
      <c r="W9" s="1">
        <f t="shared" si="5"/>
        <v>23.872340425531913</v>
      </c>
      <c r="X9" s="4">
        <f t="shared" si="6"/>
        <v>3.934782608695652</v>
      </c>
      <c r="Y9" s="4">
        <f t="shared" si="7"/>
        <v>6.255700000000001</v>
      </c>
      <c r="Z9" s="4">
        <f t="shared" si="8"/>
        <v>24.29075</v>
      </c>
      <c r="AA9" s="6">
        <f t="shared" si="9"/>
        <v>0.02182499264482746</v>
      </c>
      <c r="AB9" s="4">
        <f t="shared" si="10"/>
        <v>1.9813561184188748</v>
      </c>
      <c r="AC9" s="4">
        <f t="shared" si="11"/>
        <v>2.446836938812157</v>
      </c>
      <c r="AD9" s="8"/>
      <c r="AE9" s="2">
        <f t="shared" si="12"/>
        <v>358.38588217616723</v>
      </c>
      <c r="AF9" s="2">
        <f t="shared" si="25"/>
        <v>537.5788232642509</v>
      </c>
      <c r="AG9" s="1">
        <f t="shared" si="13"/>
        <v>19.275137239498864</v>
      </c>
      <c r="AH9" s="1">
        <f t="shared" si="14"/>
        <v>28.912705859248298</v>
      </c>
      <c r="AI9" s="1">
        <f t="shared" si="15"/>
        <v>4.199258477922327</v>
      </c>
      <c r="AJ9" s="1">
        <f t="shared" si="16"/>
        <v>3.35491905354919</v>
      </c>
      <c r="AK9" s="1">
        <f t="shared" si="26"/>
        <v>6.29888771688349</v>
      </c>
      <c r="AL9" s="1">
        <f t="shared" si="27"/>
        <v>5.032378580323785</v>
      </c>
      <c r="AM9" s="1">
        <f t="shared" si="17"/>
        <v>78.80138354115364</v>
      </c>
      <c r="AN9" s="1">
        <f t="shared" si="28"/>
        <v>118.20207531173045</v>
      </c>
      <c r="AO9" s="1">
        <f t="shared" si="18"/>
        <v>126.8994897123554</v>
      </c>
      <c r="AP9" s="1">
        <f t="shared" si="29"/>
        <v>190.34923456853312</v>
      </c>
      <c r="AQ9" s="1">
        <f t="shared" si="30"/>
        <v>88.3443790143698</v>
      </c>
      <c r="AR9" s="1">
        <f t="shared" si="19"/>
        <v>19.246601357144</v>
      </c>
    </row>
    <row r="10" spans="2:44" ht="12.75" customHeight="1" outlineLevel="2">
      <c r="B10" s="11" t="s">
        <v>40</v>
      </c>
      <c r="C10" s="3">
        <v>160</v>
      </c>
      <c r="D10" s="3">
        <v>160</v>
      </c>
      <c r="E10" s="3">
        <v>82</v>
      </c>
      <c r="F10" s="3">
        <v>5</v>
      </c>
      <c r="G10" s="3">
        <v>7.4</v>
      </c>
      <c r="H10" s="3">
        <v>9</v>
      </c>
      <c r="I10" s="3">
        <f t="shared" si="0"/>
        <v>127</v>
      </c>
      <c r="J10" s="3"/>
      <c r="K10" s="1">
        <f t="shared" si="1"/>
        <v>20.09130995059227</v>
      </c>
      <c r="L10" s="2">
        <v>869</v>
      </c>
      <c r="M10" s="2">
        <f t="shared" si="20"/>
        <v>108.625</v>
      </c>
      <c r="N10" s="4">
        <f t="shared" si="21"/>
        <v>6.576665620057012</v>
      </c>
      <c r="O10" s="3">
        <v>68.3</v>
      </c>
      <c r="P10" s="1">
        <f t="shared" si="22"/>
        <v>16.658536585365855</v>
      </c>
      <c r="Q10" s="4">
        <f t="shared" si="23"/>
        <v>1.843767795548338</v>
      </c>
      <c r="R10" s="1">
        <f t="shared" si="24"/>
        <v>61.92982499800122</v>
      </c>
      <c r="S10" s="1">
        <f t="shared" si="2"/>
        <v>13.049952524516002</v>
      </c>
      <c r="T10" s="8">
        <f t="shared" si="3"/>
        <v>0.6221486677646162</v>
      </c>
      <c r="U10" s="8">
        <f t="shared" si="4"/>
        <v>0.1577167831121493</v>
      </c>
      <c r="V10" s="8"/>
      <c r="W10" s="1">
        <f t="shared" si="5"/>
        <v>25.439999999999998</v>
      </c>
      <c r="X10" s="4">
        <f t="shared" si="6"/>
        <v>3.9864864864864864</v>
      </c>
      <c r="Y10" s="4">
        <f t="shared" si="7"/>
        <v>7.63</v>
      </c>
      <c r="Z10" s="4">
        <f t="shared" si="8"/>
        <v>31.282999999999998</v>
      </c>
      <c r="AA10" s="6">
        <f t="shared" si="9"/>
        <v>0.018739587594536086</v>
      </c>
      <c r="AB10" s="4">
        <f t="shared" si="10"/>
        <v>3.9588687387013333</v>
      </c>
      <c r="AC10" s="4">
        <f t="shared" si="11"/>
        <v>3.6043373843292263</v>
      </c>
      <c r="AD10" s="8"/>
      <c r="AE10" s="2">
        <f t="shared" si="12"/>
        <v>438.3558534674676</v>
      </c>
      <c r="AF10" s="2">
        <f t="shared" si="25"/>
        <v>657.5337802012015</v>
      </c>
      <c r="AG10" s="1">
        <f t="shared" si="13"/>
        <v>27.023923635491442</v>
      </c>
      <c r="AH10" s="1">
        <f t="shared" si="14"/>
        <v>40.535885453237164</v>
      </c>
      <c r="AI10" s="1">
        <f t="shared" si="15"/>
        <v>5.694524737970619</v>
      </c>
      <c r="AJ10" s="1">
        <f t="shared" si="16"/>
        <v>4.5432372505543235</v>
      </c>
      <c r="AK10" s="1">
        <f t="shared" si="26"/>
        <v>8.54178710695593</v>
      </c>
      <c r="AL10" s="1">
        <f t="shared" si="27"/>
        <v>6.814855875831485</v>
      </c>
      <c r="AM10" s="1">
        <f t="shared" si="17"/>
        <v>96.11307390364023</v>
      </c>
      <c r="AN10" s="1">
        <f t="shared" si="28"/>
        <v>144.16961085546035</v>
      </c>
      <c r="AO10" s="1">
        <f t="shared" si="18"/>
        <v>152.8739534593156</v>
      </c>
      <c r="AP10" s="1">
        <f t="shared" si="29"/>
        <v>229.3109301889734</v>
      </c>
      <c r="AQ10" s="1">
        <f t="shared" si="30"/>
        <v>123.85964999600245</v>
      </c>
      <c r="AR10" s="1">
        <f t="shared" si="19"/>
        <v>26.099905049032003</v>
      </c>
    </row>
    <row r="11" spans="2:44" ht="12.75" customHeight="1" outlineLevel="2">
      <c r="B11" s="11" t="s">
        <v>29</v>
      </c>
      <c r="C11" s="3">
        <v>180</v>
      </c>
      <c r="D11" s="3">
        <v>180</v>
      </c>
      <c r="E11" s="3">
        <v>91</v>
      </c>
      <c r="F11" s="3">
        <v>5.3</v>
      </c>
      <c r="G11" s="3">
        <v>8</v>
      </c>
      <c r="H11" s="3">
        <v>9</v>
      </c>
      <c r="I11" s="3">
        <f t="shared" si="0"/>
        <v>146</v>
      </c>
      <c r="J11" s="3"/>
      <c r="K11" s="1">
        <f t="shared" si="1"/>
        <v>23.947309950592267</v>
      </c>
      <c r="L11" s="2">
        <v>1320</v>
      </c>
      <c r="M11" s="2">
        <f t="shared" si="20"/>
        <v>146.66666666666666</v>
      </c>
      <c r="N11" s="4">
        <f t="shared" si="21"/>
        <v>7.424352746579874</v>
      </c>
      <c r="O11" s="3">
        <v>101</v>
      </c>
      <c r="P11" s="1">
        <f t="shared" si="22"/>
        <v>22.197802197802197</v>
      </c>
      <c r="Q11" s="4">
        <f t="shared" si="23"/>
        <v>2.0536778509192746</v>
      </c>
      <c r="R11" s="1">
        <f t="shared" si="24"/>
        <v>83.20748067477959</v>
      </c>
      <c r="S11" s="1">
        <f t="shared" si="2"/>
        <v>17.299862304516</v>
      </c>
      <c r="T11" s="8">
        <f t="shared" si="3"/>
        <v>0.6979486677646163</v>
      </c>
      <c r="U11" s="8">
        <f t="shared" si="4"/>
        <v>0.1879863831121493</v>
      </c>
      <c r="V11" s="8"/>
      <c r="W11" s="1">
        <f t="shared" si="5"/>
        <v>27.547169811320757</v>
      </c>
      <c r="X11" s="4">
        <f t="shared" si="6"/>
        <v>4.23125</v>
      </c>
      <c r="Y11" s="4">
        <f t="shared" si="7"/>
        <v>9.116</v>
      </c>
      <c r="Z11" s="4">
        <f t="shared" si="8"/>
        <v>39.13</v>
      </c>
      <c r="AA11" s="6">
        <f t="shared" si="9"/>
        <v>0.01576797582016909</v>
      </c>
      <c r="AB11" s="4">
        <f t="shared" si="10"/>
        <v>7.4312148213333336</v>
      </c>
      <c r="AC11" s="4">
        <f t="shared" si="11"/>
        <v>4.790115468901135</v>
      </c>
      <c r="AD11" s="8"/>
      <c r="AE11" s="2">
        <f t="shared" si="12"/>
        <v>522.4867625583767</v>
      </c>
      <c r="AF11" s="2">
        <f t="shared" si="25"/>
        <v>783.730143837565</v>
      </c>
      <c r="AG11" s="1">
        <f t="shared" si="13"/>
        <v>36.48</v>
      </c>
      <c r="AH11" s="1">
        <f t="shared" si="14"/>
        <v>54.72</v>
      </c>
      <c r="AI11" s="1">
        <f t="shared" si="15"/>
        <v>7.5490308237888</v>
      </c>
      <c r="AJ11" s="1">
        <f t="shared" si="16"/>
        <v>6.053946053946053</v>
      </c>
      <c r="AK11" s="1">
        <f t="shared" si="26"/>
        <v>11.3235462356832</v>
      </c>
      <c r="AL11" s="1">
        <f t="shared" si="27"/>
        <v>9.08091908091908</v>
      </c>
      <c r="AM11" s="1">
        <f t="shared" si="17"/>
        <v>114.83181935853007</v>
      </c>
      <c r="AN11" s="1">
        <f t="shared" si="28"/>
        <v>172.2477290377951</v>
      </c>
      <c r="AO11" s="1">
        <f t="shared" si="18"/>
        <v>183.40843460511167</v>
      </c>
      <c r="AP11" s="1">
        <f t="shared" si="29"/>
        <v>275.1126519076675</v>
      </c>
      <c r="AQ11" s="1">
        <f t="shared" si="30"/>
        <v>166.41496134955918</v>
      </c>
      <c r="AR11" s="1">
        <f t="shared" si="19"/>
        <v>34.599724609032</v>
      </c>
    </row>
    <row r="12" spans="2:44" ht="12.75" customHeight="1" outlineLevel="2">
      <c r="B12" s="11" t="s">
        <v>30</v>
      </c>
      <c r="C12" s="3">
        <v>200</v>
      </c>
      <c r="D12" s="3">
        <v>200</v>
      </c>
      <c r="E12" s="3">
        <v>100</v>
      </c>
      <c r="F12" s="3">
        <v>5.6</v>
      </c>
      <c r="G12" s="3">
        <v>8.5</v>
      </c>
      <c r="H12" s="3">
        <v>12</v>
      </c>
      <c r="I12" s="3">
        <f t="shared" si="0"/>
        <v>159</v>
      </c>
      <c r="J12" s="3"/>
      <c r="K12" s="1">
        <f t="shared" si="1"/>
        <v>28.4841065788307</v>
      </c>
      <c r="L12" s="2">
        <v>1940</v>
      </c>
      <c r="M12" s="2">
        <f t="shared" si="20"/>
        <v>194</v>
      </c>
      <c r="N12" s="4">
        <f t="shared" si="21"/>
        <v>8.25276662089997</v>
      </c>
      <c r="O12" s="3">
        <v>142</v>
      </c>
      <c r="P12" s="1">
        <f t="shared" si="22"/>
        <v>28.4</v>
      </c>
      <c r="Q12" s="4">
        <f t="shared" si="23"/>
        <v>2.232764256841912</v>
      </c>
      <c r="R12" s="2">
        <f t="shared" si="24"/>
        <v>110.3193221222424</v>
      </c>
      <c r="S12" s="1">
        <f t="shared" si="2"/>
        <v>22.306077498112</v>
      </c>
      <c r="T12" s="8">
        <f t="shared" si="3"/>
        <v>0.768198223686155</v>
      </c>
      <c r="U12" s="8">
        <f t="shared" si="4"/>
        <v>0.223600236643821</v>
      </c>
      <c r="V12" s="8"/>
      <c r="W12" s="1">
        <f t="shared" si="5"/>
        <v>28.392857142857146</v>
      </c>
      <c r="X12" s="4">
        <f t="shared" si="6"/>
        <v>4.141176470588236</v>
      </c>
      <c r="Y12" s="4">
        <f t="shared" si="7"/>
        <v>10.723999999999998</v>
      </c>
      <c r="Z12" s="4">
        <f t="shared" si="8"/>
        <v>47.875</v>
      </c>
      <c r="AA12" s="6">
        <f t="shared" si="9"/>
        <v>0.014397652599724519</v>
      </c>
      <c r="AB12" s="4">
        <f t="shared" si="10"/>
        <v>12.988088541666666</v>
      </c>
      <c r="AC12" s="4">
        <f t="shared" si="11"/>
        <v>6.980120130097937</v>
      </c>
      <c r="AD12" s="8"/>
      <c r="AE12" s="2">
        <f t="shared" si="12"/>
        <v>621.4714162653971</v>
      </c>
      <c r="AF12" s="2">
        <f t="shared" si="25"/>
        <v>932.2071243980956</v>
      </c>
      <c r="AG12" s="1">
        <f t="shared" si="13"/>
        <v>48.25309090909091</v>
      </c>
      <c r="AH12" s="1">
        <f t="shared" si="14"/>
        <v>72.37963636363637</v>
      </c>
      <c r="AI12" s="1">
        <f t="shared" si="15"/>
        <v>9.733561090085235</v>
      </c>
      <c r="AJ12" s="1">
        <f t="shared" si="16"/>
        <v>7.745454545454544</v>
      </c>
      <c r="AK12" s="1">
        <f t="shared" si="26"/>
        <v>14.600341635127853</v>
      </c>
      <c r="AL12" s="1">
        <f t="shared" si="27"/>
        <v>11.618181818181817</v>
      </c>
      <c r="AM12" s="1">
        <f t="shared" si="17"/>
        <v>135.08736625722645</v>
      </c>
      <c r="AN12" s="1">
        <f t="shared" si="28"/>
        <v>202.63104938583967</v>
      </c>
      <c r="AO12" s="1">
        <f t="shared" si="18"/>
        <v>214.144463481243</v>
      </c>
      <c r="AP12" s="1">
        <f t="shared" si="29"/>
        <v>321.2166952218645</v>
      </c>
      <c r="AQ12" s="1">
        <f t="shared" si="30"/>
        <v>220.6386442444848</v>
      </c>
      <c r="AR12" s="1">
        <f t="shared" si="19"/>
        <v>44.612154996224</v>
      </c>
    </row>
    <row r="13" spans="2:44" ht="12.75" customHeight="1" outlineLevel="2">
      <c r="B13" s="11" t="s">
        <v>31</v>
      </c>
      <c r="C13" s="3">
        <v>220</v>
      </c>
      <c r="D13" s="3">
        <v>220</v>
      </c>
      <c r="E13" s="3">
        <v>110</v>
      </c>
      <c r="F13" s="3">
        <v>5.9</v>
      </c>
      <c r="G13" s="3">
        <v>9.2</v>
      </c>
      <c r="H13" s="3">
        <v>12</v>
      </c>
      <c r="I13" s="3">
        <f t="shared" si="0"/>
        <v>177</v>
      </c>
      <c r="J13" s="3"/>
      <c r="K13" s="1">
        <f t="shared" si="1"/>
        <v>33.37050657883069</v>
      </c>
      <c r="L13" s="2">
        <v>2770</v>
      </c>
      <c r="M13" s="2">
        <f t="shared" si="20"/>
        <v>251.8181818181818</v>
      </c>
      <c r="N13" s="4">
        <f t="shared" si="21"/>
        <v>9.110841362488122</v>
      </c>
      <c r="O13" s="3">
        <v>205</v>
      </c>
      <c r="P13" s="1">
        <f t="shared" si="22"/>
        <v>37.27272727272727</v>
      </c>
      <c r="Q13" s="4">
        <f t="shared" si="23"/>
        <v>2.478537709260514</v>
      </c>
      <c r="R13" s="2">
        <f t="shared" si="24"/>
        <v>142.70299968139864</v>
      </c>
      <c r="S13" s="1">
        <f t="shared" si="2"/>
        <v>29.055200218111995</v>
      </c>
      <c r="T13" s="8">
        <f t="shared" si="3"/>
        <v>0.846398223686155</v>
      </c>
      <c r="U13" s="8">
        <f t="shared" si="4"/>
        <v>0.26195847664382094</v>
      </c>
      <c r="V13" s="8"/>
      <c r="W13" s="1">
        <f t="shared" si="5"/>
        <v>30.101694915254235</v>
      </c>
      <c r="X13" s="4">
        <f t="shared" si="6"/>
        <v>4.353260869565218</v>
      </c>
      <c r="Y13" s="4">
        <f t="shared" si="7"/>
        <v>12.437200000000002</v>
      </c>
      <c r="Z13" s="4">
        <f t="shared" si="8"/>
        <v>57.97</v>
      </c>
      <c r="AA13" s="6">
        <f t="shared" si="9"/>
        <v>0.012419009848319154</v>
      </c>
      <c r="AB13" s="4">
        <f t="shared" si="10"/>
        <v>22.672314338666666</v>
      </c>
      <c r="AC13" s="4">
        <f t="shared" si="11"/>
        <v>9.065756979663202</v>
      </c>
      <c r="AD13" s="8"/>
      <c r="AE13" s="2">
        <f t="shared" si="12"/>
        <v>728.0837799017605</v>
      </c>
      <c r="AF13" s="2">
        <f t="shared" si="25"/>
        <v>1092.1256698526408</v>
      </c>
      <c r="AG13" s="1">
        <f t="shared" si="13"/>
        <v>62.634049586776854</v>
      </c>
      <c r="AH13" s="1">
        <f t="shared" si="14"/>
        <v>93.95107438016528</v>
      </c>
      <c r="AI13" s="1">
        <f t="shared" si="15"/>
        <v>12.678632822448868</v>
      </c>
      <c r="AJ13" s="1">
        <f t="shared" si="16"/>
        <v>10.165289256198346</v>
      </c>
      <c r="AK13" s="1">
        <f t="shared" si="26"/>
        <v>19.017949233673303</v>
      </c>
      <c r="AL13" s="1">
        <f t="shared" si="27"/>
        <v>15.247933884297519</v>
      </c>
      <c r="AM13" s="1">
        <f t="shared" si="17"/>
        <v>156.66808948287738</v>
      </c>
      <c r="AN13" s="1">
        <f t="shared" si="28"/>
        <v>235.00213422431608</v>
      </c>
      <c r="AO13" s="1">
        <f t="shared" si="18"/>
        <v>254.9578788741387</v>
      </c>
      <c r="AP13" s="1">
        <f t="shared" si="29"/>
        <v>382.436818311208</v>
      </c>
      <c r="AQ13" s="1">
        <f t="shared" si="30"/>
        <v>285.4059993627973</v>
      </c>
      <c r="AR13" s="1">
        <f t="shared" si="19"/>
        <v>58.11040043622399</v>
      </c>
    </row>
    <row r="14" spans="2:44" ht="12.75" customHeight="1" outlineLevel="2">
      <c r="B14" s="11" t="s">
        <v>32</v>
      </c>
      <c r="C14" s="3">
        <v>240</v>
      </c>
      <c r="D14" s="3">
        <v>240</v>
      </c>
      <c r="E14" s="3">
        <v>120</v>
      </c>
      <c r="F14" s="3">
        <v>6.2</v>
      </c>
      <c r="G14" s="3">
        <v>9.8</v>
      </c>
      <c r="H14" s="3">
        <v>15</v>
      </c>
      <c r="I14" s="3">
        <f t="shared" si="0"/>
        <v>190</v>
      </c>
      <c r="J14" s="3"/>
      <c r="K14" s="1">
        <f t="shared" si="1"/>
        <v>39.116216529422964</v>
      </c>
      <c r="L14" s="2">
        <v>3890</v>
      </c>
      <c r="M14" s="2">
        <f t="shared" si="20"/>
        <v>324.1666666666667</v>
      </c>
      <c r="N14" s="4">
        <f t="shared" si="21"/>
        <v>9.972323991970459</v>
      </c>
      <c r="O14" s="3">
        <v>284</v>
      </c>
      <c r="P14" s="1">
        <f t="shared" si="22"/>
        <v>47.333333333333336</v>
      </c>
      <c r="Q14" s="4">
        <f t="shared" si="23"/>
        <v>2.6945158913617355</v>
      </c>
      <c r="R14" s="2">
        <f t="shared" si="24"/>
        <v>183.32266369448766</v>
      </c>
      <c r="S14" s="1">
        <f t="shared" si="2"/>
        <v>36.96195161349999</v>
      </c>
      <c r="T14" s="8">
        <f t="shared" si="3"/>
        <v>0.9210477796076939</v>
      </c>
      <c r="U14" s="8">
        <f t="shared" si="4"/>
        <v>0.30706229975597027</v>
      </c>
      <c r="V14" s="8"/>
      <c r="W14" s="1">
        <f t="shared" si="5"/>
        <v>30.70967741935484</v>
      </c>
      <c r="X14" s="4">
        <f t="shared" si="6"/>
        <v>4.275510204081632</v>
      </c>
      <c r="Y14" s="4">
        <f t="shared" si="7"/>
        <v>14.2724</v>
      </c>
      <c r="Z14" s="4">
        <f t="shared" si="8"/>
        <v>69.06</v>
      </c>
      <c r="AA14" s="6">
        <f t="shared" si="9"/>
        <v>0.011526648056764528</v>
      </c>
      <c r="AB14" s="4">
        <f t="shared" si="10"/>
        <v>37.391183424</v>
      </c>
      <c r="AC14" s="4">
        <f t="shared" si="11"/>
        <v>12.879812852961644</v>
      </c>
      <c r="AD14" s="8"/>
      <c r="AE14" s="2">
        <f t="shared" si="12"/>
        <v>853.4447242783192</v>
      </c>
      <c r="AF14" s="2">
        <f t="shared" si="25"/>
        <v>1280.1670864174787</v>
      </c>
      <c r="AG14" s="1">
        <f t="shared" si="13"/>
        <v>80.6290909090909</v>
      </c>
      <c r="AH14" s="1">
        <f t="shared" si="14"/>
        <v>120.94363636363636</v>
      </c>
      <c r="AI14" s="1">
        <f t="shared" si="15"/>
        <v>16.128851613163633</v>
      </c>
      <c r="AJ14" s="1">
        <f t="shared" si="16"/>
        <v>12.909090909090908</v>
      </c>
      <c r="AK14" s="1">
        <f t="shared" si="26"/>
        <v>24.19327741974545</v>
      </c>
      <c r="AL14" s="1">
        <f t="shared" si="27"/>
        <v>19.363636363636363</v>
      </c>
      <c r="AM14" s="1">
        <f t="shared" si="17"/>
        <v>179.78561415233486</v>
      </c>
      <c r="AN14" s="1">
        <f t="shared" si="28"/>
        <v>269.6784212285023</v>
      </c>
      <c r="AO14" s="1">
        <f t="shared" si="18"/>
        <v>296.2751635928727</v>
      </c>
      <c r="AP14" s="1">
        <f t="shared" si="29"/>
        <v>444.412745389309</v>
      </c>
      <c r="AQ14" s="1">
        <f t="shared" si="30"/>
        <v>366.6453273889753</v>
      </c>
      <c r="AR14" s="1">
        <f t="shared" si="19"/>
        <v>73.92390322699998</v>
      </c>
    </row>
    <row r="15" spans="2:44" ht="12.75" customHeight="1" outlineLevel="2">
      <c r="B15" s="11" t="s">
        <v>33</v>
      </c>
      <c r="C15" s="12">
        <v>270</v>
      </c>
      <c r="D15" s="3">
        <v>270</v>
      </c>
      <c r="E15" s="3">
        <v>135</v>
      </c>
      <c r="F15" s="3">
        <v>6.6</v>
      </c>
      <c r="G15" s="3">
        <v>10.2</v>
      </c>
      <c r="H15" s="3">
        <v>15</v>
      </c>
      <c r="I15" s="3">
        <f>ROUNDDOWN(D15-2*G15-2*H15,0)</f>
        <v>219</v>
      </c>
      <c r="J15" s="3"/>
      <c r="K15" s="1">
        <f>((D15-2*G15)*F15+2*E15*G15+((2*H15)^2-H15^2*PI()))/100</f>
        <v>45.945016529422965</v>
      </c>
      <c r="L15" s="2">
        <v>5790</v>
      </c>
      <c r="M15" s="2">
        <f t="shared" si="20"/>
        <v>428.8888888888889</v>
      </c>
      <c r="N15" s="4">
        <f t="shared" si="21"/>
        <v>11.22587173699657</v>
      </c>
      <c r="O15" s="3">
        <v>420</v>
      </c>
      <c r="P15" s="1">
        <f t="shared" si="22"/>
        <v>62.22222222222222</v>
      </c>
      <c r="Q15" s="4">
        <f t="shared" si="23"/>
        <v>3.023468436483042</v>
      </c>
      <c r="R15" s="2">
        <f t="shared" si="24"/>
        <v>241.99840576096642</v>
      </c>
      <c r="S15" s="1">
        <f t="shared" si="2"/>
        <v>48.4750656135</v>
      </c>
      <c r="T15" s="8">
        <f t="shared" si="3"/>
        <v>1.039847779607694</v>
      </c>
      <c r="U15" s="8">
        <f t="shared" si="4"/>
        <v>0.36066837975597027</v>
      </c>
      <c r="V15" s="8"/>
      <c r="W15" s="1">
        <f t="shared" si="5"/>
        <v>33.27272727272727</v>
      </c>
      <c r="X15" s="4">
        <f t="shared" si="6"/>
        <v>4.8235294117647065</v>
      </c>
      <c r="Y15" s="4">
        <f t="shared" si="7"/>
        <v>17.1468</v>
      </c>
      <c r="Z15" s="4">
        <f t="shared" si="8"/>
        <v>87.6825</v>
      </c>
      <c r="AA15" s="6">
        <f t="shared" si="9"/>
        <v>0.009334866295961601</v>
      </c>
      <c r="AB15" s="4">
        <f t="shared" si="10"/>
        <v>70.57786700137501</v>
      </c>
      <c r="AC15" s="4">
        <f t="shared" si="11"/>
        <v>15.944797522382753</v>
      </c>
      <c r="AD15" s="8"/>
      <c r="AE15" s="2">
        <f t="shared" si="12"/>
        <v>1002.4367242783192</v>
      </c>
      <c r="AF15" s="2">
        <f t="shared" si="25"/>
        <v>1503.6550864174787</v>
      </c>
      <c r="AG15" s="1">
        <f t="shared" si="13"/>
        <v>106.67636363636365</v>
      </c>
      <c r="AH15" s="1">
        <f t="shared" si="14"/>
        <v>160.01454545454547</v>
      </c>
      <c r="AI15" s="1">
        <f t="shared" si="15"/>
        <v>21.152755904072723</v>
      </c>
      <c r="AJ15" s="1">
        <f t="shared" si="16"/>
        <v>16.96969696969697</v>
      </c>
      <c r="AK15" s="1">
        <f t="shared" si="26"/>
        <v>31.729133856109087</v>
      </c>
      <c r="AL15" s="1">
        <f t="shared" si="27"/>
        <v>25.454545454545453</v>
      </c>
      <c r="AM15" s="1">
        <f t="shared" si="17"/>
        <v>215.99366390706928</v>
      </c>
      <c r="AN15" s="1">
        <f t="shared" si="28"/>
        <v>323.9904958606039</v>
      </c>
      <c r="AO15" s="1">
        <f t="shared" si="18"/>
        <v>346.91403083961364</v>
      </c>
      <c r="AP15" s="1">
        <f t="shared" si="29"/>
        <v>520.3710462594205</v>
      </c>
      <c r="AQ15" s="1">
        <f t="shared" si="30"/>
        <v>483.99681152193284</v>
      </c>
      <c r="AR15" s="1">
        <f t="shared" si="19"/>
        <v>96.950131227</v>
      </c>
    </row>
    <row r="16" spans="2:44" ht="12.75" outlineLevel="2">
      <c r="B16" s="11" t="s">
        <v>34</v>
      </c>
      <c r="C16" s="12">
        <v>300</v>
      </c>
      <c r="D16" s="3">
        <v>300</v>
      </c>
      <c r="E16" s="3">
        <v>150</v>
      </c>
      <c r="F16" s="3">
        <v>7.1</v>
      </c>
      <c r="G16" s="3">
        <v>10.7</v>
      </c>
      <c r="H16" s="3">
        <v>15</v>
      </c>
      <c r="I16" s="3">
        <f aca="true" t="shared" si="31" ref="I16:I79">ROUNDDOWN(D16-2*G16-2*H16,0)</f>
        <v>248</v>
      </c>
      <c r="J16" s="3"/>
      <c r="K16" s="1">
        <f aca="true" t="shared" si="32" ref="K16:K113">((D16-2*G16)*F16+2*E16*G16+((2*H16)^2-H16^2*PI()))/100</f>
        <v>53.81201652942297</v>
      </c>
      <c r="L16" s="2">
        <v>8360</v>
      </c>
      <c r="M16" s="2">
        <f t="shared" si="20"/>
        <v>557.3333333333334</v>
      </c>
      <c r="N16" s="4">
        <f t="shared" si="21"/>
        <v>12.46417406115537</v>
      </c>
      <c r="O16" s="3">
        <v>604</v>
      </c>
      <c r="P16" s="1">
        <f t="shared" si="22"/>
        <v>80.53333333333333</v>
      </c>
      <c r="Q16" s="4">
        <f t="shared" si="23"/>
        <v>3.3502624969672783</v>
      </c>
      <c r="R16" s="2">
        <f t="shared" si="24"/>
        <v>314.17794024479804</v>
      </c>
      <c r="S16" s="1">
        <f t="shared" si="2"/>
        <v>62.6094143635</v>
      </c>
      <c r="T16" s="8">
        <f t="shared" si="3"/>
        <v>1.158847779607694</v>
      </c>
      <c r="U16" s="8">
        <f t="shared" si="4"/>
        <v>0.42242432975597033</v>
      </c>
      <c r="V16" s="8"/>
      <c r="W16" s="1">
        <f t="shared" si="5"/>
        <v>35.014084507042256</v>
      </c>
      <c r="X16" s="4">
        <f t="shared" si="6"/>
        <v>5.27570093457944</v>
      </c>
      <c r="Y16" s="4">
        <f t="shared" si="7"/>
        <v>20.540300000000002</v>
      </c>
      <c r="Z16" s="2">
        <f t="shared" si="8"/>
        <v>108.4875</v>
      </c>
      <c r="AA16" s="6">
        <f t="shared" si="9"/>
        <v>0.007849807830055905</v>
      </c>
      <c r="AB16" s="4">
        <f t="shared" si="10"/>
        <v>125.934052921875</v>
      </c>
      <c r="AC16" s="4">
        <f t="shared" si="11"/>
        <v>20.11849577943933</v>
      </c>
      <c r="AD16" s="8"/>
      <c r="AE16" s="2">
        <f t="shared" si="12"/>
        <v>1174.0803606419556</v>
      </c>
      <c r="AF16" s="2">
        <f t="shared" si="25"/>
        <v>1761.1205409629335</v>
      </c>
      <c r="AG16" s="1">
        <f t="shared" si="13"/>
        <v>138.624</v>
      </c>
      <c r="AH16" s="1">
        <f t="shared" si="14"/>
        <v>207.93599999999998</v>
      </c>
      <c r="AI16" s="1">
        <f t="shared" si="15"/>
        <v>27.320471722254542</v>
      </c>
      <c r="AJ16" s="1">
        <f t="shared" si="16"/>
        <v>21.96363636363636</v>
      </c>
      <c r="AK16" s="1">
        <f t="shared" si="26"/>
        <v>40.980707583381815</v>
      </c>
      <c r="AL16" s="1">
        <f t="shared" si="27"/>
        <v>32.94545454545454</v>
      </c>
      <c r="AM16" s="1">
        <f t="shared" si="17"/>
        <v>258.74067783786916</v>
      </c>
      <c r="AN16" s="1">
        <f t="shared" si="28"/>
        <v>388.11101675680374</v>
      </c>
      <c r="AO16" s="1">
        <f t="shared" si="18"/>
        <v>404.3551339851706</v>
      </c>
      <c r="AP16" s="1">
        <f t="shared" si="29"/>
        <v>606.5327009777559</v>
      </c>
      <c r="AQ16" s="1">
        <f t="shared" si="30"/>
        <v>628.3558804895961</v>
      </c>
      <c r="AR16" s="1">
        <f t="shared" si="19"/>
        <v>125.218828727</v>
      </c>
    </row>
    <row r="17" spans="2:44" ht="12.75" outlineLevel="2">
      <c r="B17" s="11" t="s">
        <v>35</v>
      </c>
      <c r="C17" s="12">
        <v>330</v>
      </c>
      <c r="D17" s="3">
        <v>330</v>
      </c>
      <c r="E17" s="3">
        <v>160</v>
      </c>
      <c r="F17" s="3">
        <v>7.5</v>
      </c>
      <c r="G17" s="3">
        <v>11.5</v>
      </c>
      <c r="H17" s="3">
        <v>18</v>
      </c>
      <c r="I17" s="3">
        <f t="shared" si="31"/>
        <v>271</v>
      </c>
      <c r="J17" s="3"/>
      <c r="K17" s="1">
        <f t="shared" si="32"/>
        <v>62.606239802369075</v>
      </c>
      <c r="L17" s="2">
        <v>11770</v>
      </c>
      <c r="M17" s="2">
        <f t="shared" si="20"/>
        <v>713.3333333333334</v>
      </c>
      <c r="N17" s="4">
        <f t="shared" si="21"/>
        <v>13.711324879224465</v>
      </c>
      <c r="O17" s="3">
        <v>788</v>
      </c>
      <c r="P17" s="1">
        <f t="shared" si="22"/>
        <v>98.5</v>
      </c>
      <c r="Q17" s="4">
        <f t="shared" si="23"/>
        <v>3.5477605366559817</v>
      </c>
      <c r="R17" s="2">
        <f t="shared" si="24"/>
        <v>402.16533200199297</v>
      </c>
      <c r="S17" s="1">
        <f t="shared" si="2"/>
        <v>76.839187946128</v>
      </c>
      <c r="T17" s="8">
        <f t="shared" si="3"/>
        <v>1.2540973355292326</v>
      </c>
      <c r="U17" s="8">
        <f t="shared" si="4"/>
        <v>0.49145898244859726</v>
      </c>
      <c r="V17" s="8"/>
      <c r="W17" s="1">
        <f t="shared" si="5"/>
        <v>36.13333333333333</v>
      </c>
      <c r="X17" s="4">
        <f t="shared" si="6"/>
        <v>5.065217391304348</v>
      </c>
      <c r="Y17" s="4">
        <f t="shared" si="7"/>
        <v>23.8875</v>
      </c>
      <c r="Z17" s="2">
        <f t="shared" si="8"/>
        <v>127.4</v>
      </c>
      <c r="AA17" s="6">
        <f t="shared" si="9"/>
        <v>0.007384192599566804</v>
      </c>
      <c r="AB17" s="4">
        <f t="shared" si="10"/>
        <v>199.09732266666666</v>
      </c>
      <c r="AC17" s="4">
        <f t="shared" si="11"/>
        <v>28.145289962495013</v>
      </c>
      <c r="AD17" s="8"/>
      <c r="AE17" s="2">
        <f t="shared" si="12"/>
        <v>1365.9543229607798</v>
      </c>
      <c r="AF17" s="2">
        <f t="shared" si="25"/>
        <v>2048.9314844411697</v>
      </c>
      <c r="AG17" s="1">
        <f t="shared" si="13"/>
        <v>177.42545454545456</v>
      </c>
      <c r="AH17" s="1">
        <f t="shared" si="14"/>
        <v>266.1381818181818</v>
      </c>
      <c r="AI17" s="1">
        <f t="shared" si="15"/>
        <v>33.52982746740131</v>
      </c>
      <c r="AJ17" s="1">
        <f t="shared" si="16"/>
        <v>26.86363636363636</v>
      </c>
      <c r="AK17" s="1">
        <f t="shared" si="26"/>
        <v>50.29474120110197</v>
      </c>
      <c r="AL17" s="1">
        <f t="shared" si="27"/>
        <v>40.29545454545454</v>
      </c>
      <c r="AM17" s="1">
        <f t="shared" si="17"/>
        <v>300.9044630240113</v>
      </c>
      <c r="AN17" s="1">
        <f t="shared" si="28"/>
        <v>451.35669453601696</v>
      </c>
      <c r="AO17" s="1">
        <f t="shared" si="18"/>
        <v>463.5597797711613</v>
      </c>
      <c r="AP17" s="1">
        <f t="shared" si="29"/>
        <v>695.339669656742</v>
      </c>
      <c r="AQ17" s="1">
        <f t="shared" si="30"/>
        <v>804.3306640039859</v>
      </c>
      <c r="AR17" s="1">
        <f t="shared" si="19"/>
        <v>153.678375892256</v>
      </c>
    </row>
    <row r="18" spans="2:44" ht="12.75" outlineLevel="2">
      <c r="B18" s="11" t="s">
        <v>41</v>
      </c>
      <c r="C18" s="12">
        <v>360</v>
      </c>
      <c r="D18" s="3">
        <v>360</v>
      </c>
      <c r="E18" s="3">
        <v>170</v>
      </c>
      <c r="F18" s="3">
        <v>8</v>
      </c>
      <c r="G18" s="3">
        <v>12.7</v>
      </c>
      <c r="H18" s="3">
        <v>18</v>
      </c>
      <c r="I18" s="3">
        <f t="shared" si="31"/>
        <v>298</v>
      </c>
      <c r="J18" s="3"/>
      <c r="K18" s="1">
        <f t="shared" si="32"/>
        <v>72.72923980236908</v>
      </c>
      <c r="L18" s="2">
        <v>16270</v>
      </c>
      <c r="M18" s="2">
        <f t="shared" si="20"/>
        <v>903.8888888888889</v>
      </c>
      <c r="N18" s="4">
        <f t="shared" si="21"/>
        <v>14.956819493075747</v>
      </c>
      <c r="O18" s="3">
        <v>1040</v>
      </c>
      <c r="P18" s="2">
        <f t="shared" si="22"/>
        <v>122.3529411764706</v>
      </c>
      <c r="Q18" s="4">
        <f t="shared" si="23"/>
        <v>3.7814829411647675</v>
      </c>
      <c r="R18" s="2">
        <f t="shared" si="24"/>
        <v>509.5734599656277</v>
      </c>
      <c r="S18" s="1">
        <f t="shared" si="2"/>
        <v>95.549659396128</v>
      </c>
      <c r="T18" s="8">
        <f t="shared" si="3"/>
        <v>1.3518973355292325</v>
      </c>
      <c r="U18" s="8">
        <f t="shared" si="4"/>
        <v>0.5709245324485973</v>
      </c>
      <c r="V18" s="8"/>
      <c r="W18" s="1">
        <f t="shared" si="5"/>
        <v>37.325</v>
      </c>
      <c r="X18" s="4">
        <f t="shared" si="6"/>
        <v>4.960629921259843</v>
      </c>
      <c r="Y18" s="4">
        <f t="shared" si="7"/>
        <v>27.784000000000002</v>
      </c>
      <c r="Z18" s="2">
        <f t="shared" si="8"/>
        <v>147.6025</v>
      </c>
      <c r="AA18" s="6">
        <f t="shared" si="9"/>
        <v>0.006775395827996784</v>
      </c>
      <c r="AB18" s="4">
        <f t="shared" si="10"/>
        <v>313.5803279699584</v>
      </c>
      <c r="AC18" s="4">
        <f t="shared" si="11"/>
        <v>37.32092769776419</v>
      </c>
      <c r="AD18" s="8"/>
      <c r="AE18" s="2">
        <f t="shared" si="12"/>
        <v>1586.8197775062342</v>
      </c>
      <c r="AF18" s="2">
        <f t="shared" si="25"/>
        <v>2380.2296662593517</v>
      </c>
      <c r="AG18" s="1">
        <f t="shared" si="13"/>
        <v>224.82181818181817</v>
      </c>
      <c r="AH18" s="1">
        <f t="shared" si="14"/>
        <v>337.2327272727273</v>
      </c>
      <c r="AI18" s="1">
        <f t="shared" si="15"/>
        <v>41.694396827401306</v>
      </c>
      <c r="AJ18" s="1">
        <f t="shared" si="16"/>
        <v>33.36898395721925</v>
      </c>
      <c r="AK18" s="1">
        <f t="shared" si="26"/>
        <v>62.54159524110196</v>
      </c>
      <c r="AL18" s="1">
        <f t="shared" si="27"/>
        <v>50.05347593582887</v>
      </c>
      <c r="AM18" s="1">
        <f t="shared" si="17"/>
        <v>349.9876337272268</v>
      </c>
      <c r="AN18" s="1">
        <f t="shared" si="28"/>
        <v>524.9814505908403</v>
      </c>
      <c r="AO18" s="1">
        <f t="shared" si="18"/>
        <v>543.9269372423571</v>
      </c>
      <c r="AP18" s="1">
        <f t="shared" si="29"/>
        <v>815.8904058635356</v>
      </c>
      <c r="AQ18" s="1">
        <f t="shared" si="30"/>
        <v>1019.1469199312554</v>
      </c>
      <c r="AR18" s="1">
        <f t="shared" si="19"/>
        <v>191.099318792256</v>
      </c>
    </row>
    <row r="19" spans="2:44" ht="12.75" outlineLevel="2">
      <c r="B19" s="11" t="s">
        <v>42</v>
      </c>
      <c r="C19" s="12">
        <v>400</v>
      </c>
      <c r="D19" s="3">
        <v>400</v>
      </c>
      <c r="E19" s="3">
        <v>180</v>
      </c>
      <c r="F19" s="3">
        <v>8.6</v>
      </c>
      <c r="G19" s="3">
        <v>13.5</v>
      </c>
      <c r="H19" s="3">
        <v>21</v>
      </c>
      <c r="I19" s="3">
        <f t="shared" si="31"/>
        <v>331</v>
      </c>
      <c r="J19" s="3"/>
      <c r="K19" s="1">
        <f t="shared" si="32"/>
        <v>84.463576397669</v>
      </c>
      <c r="L19" s="2">
        <v>23130</v>
      </c>
      <c r="M19" s="2">
        <f t="shared" si="20"/>
        <v>1156.5</v>
      </c>
      <c r="N19" s="4">
        <f t="shared" si="21"/>
        <v>16.548288476686547</v>
      </c>
      <c r="O19" s="3">
        <v>1320</v>
      </c>
      <c r="P19" s="2">
        <f t="shared" si="22"/>
        <v>146.66666666666666</v>
      </c>
      <c r="Q19" s="4">
        <f t="shared" si="23"/>
        <v>3.9532313641291794</v>
      </c>
      <c r="R19" s="2">
        <f t="shared" si="24"/>
        <v>653.573811498319</v>
      </c>
      <c r="S19" s="1">
        <f t="shared" si="2"/>
        <v>114.500132771444</v>
      </c>
      <c r="T19" s="8">
        <f t="shared" si="3"/>
        <v>1.4667468914507713</v>
      </c>
      <c r="U19" s="8">
        <f t="shared" si="4"/>
        <v>0.6630390747217016</v>
      </c>
      <c r="V19" s="8"/>
      <c r="W19" s="1">
        <f t="shared" si="5"/>
        <v>38.48837209302326</v>
      </c>
      <c r="X19" s="4">
        <f t="shared" si="6"/>
        <v>4.792592592592593</v>
      </c>
      <c r="Y19" s="4">
        <f t="shared" si="7"/>
        <v>33.239</v>
      </c>
      <c r="Z19" s="2">
        <f t="shared" si="8"/>
        <v>173.925</v>
      </c>
      <c r="AA19" s="6">
        <f t="shared" si="9"/>
        <v>0.00634044205697442</v>
      </c>
      <c r="AB19" s="4">
        <f t="shared" si="10"/>
        <v>490.048471125</v>
      </c>
      <c r="AC19" s="4">
        <f t="shared" si="11"/>
        <v>51.07547221208023</v>
      </c>
      <c r="AD19" s="8"/>
      <c r="AE19" s="2">
        <f t="shared" si="12"/>
        <v>1842.8416668582327</v>
      </c>
      <c r="AF19" s="2">
        <f t="shared" si="25"/>
        <v>2764.262500287349</v>
      </c>
      <c r="AG19" s="1">
        <f t="shared" si="13"/>
        <v>287.6530909090909</v>
      </c>
      <c r="AH19" s="1">
        <f t="shared" si="14"/>
        <v>431.47963636363636</v>
      </c>
      <c r="AI19" s="1">
        <f t="shared" si="15"/>
        <v>49.96369430026647</v>
      </c>
      <c r="AJ19" s="1">
        <f t="shared" si="16"/>
        <v>39.99999999999999</v>
      </c>
      <c r="AK19" s="1">
        <f t="shared" si="26"/>
        <v>74.9455414503997</v>
      </c>
      <c r="AL19" s="1">
        <f t="shared" si="27"/>
        <v>59.999999999999986</v>
      </c>
      <c r="AM19" s="1">
        <f t="shared" si="17"/>
        <v>418.70281303841386</v>
      </c>
      <c r="AN19" s="1">
        <f t="shared" si="28"/>
        <v>628.0542195576209</v>
      </c>
      <c r="AO19" s="1">
        <f t="shared" si="18"/>
        <v>612.2012308934358</v>
      </c>
      <c r="AP19" s="1">
        <f t="shared" si="29"/>
        <v>918.3018463401536</v>
      </c>
      <c r="AQ19" s="1">
        <f t="shared" si="30"/>
        <v>1307.147622996638</v>
      </c>
      <c r="AR19" s="1">
        <f t="shared" si="19"/>
        <v>229.000265542888</v>
      </c>
    </row>
    <row r="20" spans="2:44" ht="12.75" outlineLevel="2">
      <c r="B20" s="11" t="s">
        <v>43</v>
      </c>
      <c r="C20" s="12">
        <v>450</v>
      </c>
      <c r="D20" s="3">
        <v>450</v>
      </c>
      <c r="E20" s="3">
        <v>190</v>
      </c>
      <c r="F20" s="3">
        <v>9.4</v>
      </c>
      <c r="G20" s="3">
        <v>14.6</v>
      </c>
      <c r="H20" s="3">
        <v>21</v>
      </c>
      <c r="I20" s="3">
        <f t="shared" si="31"/>
        <v>378</v>
      </c>
      <c r="J20" s="3"/>
      <c r="K20" s="1">
        <f t="shared" si="32"/>
        <v>98.82077639766902</v>
      </c>
      <c r="L20" s="2">
        <v>33740</v>
      </c>
      <c r="M20" s="2">
        <f t="shared" si="20"/>
        <v>1499.5555555555557</v>
      </c>
      <c r="N20" s="4">
        <f t="shared" si="21"/>
        <v>18.477721127790993</v>
      </c>
      <c r="O20" s="3">
        <v>1680</v>
      </c>
      <c r="P20" s="2">
        <f t="shared" si="22"/>
        <v>176.8421052631579</v>
      </c>
      <c r="Q20" s="4">
        <f t="shared" si="23"/>
        <v>4.123163057309985</v>
      </c>
      <c r="R20" s="2">
        <f t="shared" si="24"/>
        <v>850.8965522935333</v>
      </c>
      <c r="S20" s="1">
        <f t="shared" si="2"/>
        <v>138.19019465144402</v>
      </c>
      <c r="T20" s="8">
        <f t="shared" si="3"/>
        <v>1.6035468914507716</v>
      </c>
      <c r="U20" s="8">
        <f t="shared" si="4"/>
        <v>0.7757430947217018</v>
      </c>
      <c r="V20" s="8"/>
      <c r="W20" s="1">
        <f t="shared" si="5"/>
        <v>40.297872340425535</v>
      </c>
      <c r="X20" s="4">
        <f t="shared" si="6"/>
        <v>4.7465753424657535</v>
      </c>
      <c r="Y20" s="4">
        <f t="shared" si="7"/>
        <v>40.9276</v>
      </c>
      <c r="Z20" s="2">
        <f t="shared" si="8"/>
        <v>206.815</v>
      </c>
      <c r="AA20" s="6">
        <f t="shared" si="9"/>
        <v>0.005710469773787578</v>
      </c>
      <c r="AB20" s="4">
        <f t="shared" si="10"/>
        <v>791.0050685343332</v>
      </c>
      <c r="AC20" s="4">
        <f t="shared" si="11"/>
        <v>66.8739869952267</v>
      </c>
      <c r="AD20" s="8"/>
      <c r="AE20" s="2">
        <f t="shared" si="12"/>
        <v>2156.089666858233</v>
      </c>
      <c r="AF20" s="2">
        <f t="shared" si="25"/>
        <v>3234.1345002873495</v>
      </c>
      <c r="AG20" s="1">
        <f t="shared" si="13"/>
        <v>372.9803636363636</v>
      </c>
      <c r="AH20" s="1">
        <f t="shared" si="14"/>
        <v>559.4705454545455</v>
      </c>
      <c r="AI20" s="1">
        <f t="shared" si="15"/>
        <v>60.30117584790284</v>
      </c>
      <c r="AJ20" s="1">
        <f t="shared" si="16"/>
        <v>48.229665071770334</v>
      </c>
      <c r="AK20" s="1">
        <f t="shared" si="26"/>
        <v>90.45176377185426</v>
      </c>
      <c r="AL20" s="1">
        <f t="shared" si="27"/>
        <v>72.3444976076555</v>
      </c>
      <c r="AM20" s="1">
        <f t="shared" si="17"/>
        <v>515.5540555044071</v>
      </c>
      <c r="AN20" s="1">
        <f t="shared" si="28"/>
        <v>773.3310832566106</v>
      </c>
      <c r="AO20" s="1">
        <f t="shared" si="18"/>
        <v>698.8667549376095</v>
      </c>
      <c r="AP20" s="1">
        <f t="shared" si="29"/>
        <v>1048.3001324064141</v>
      </c>
      <c r="AQ20" s="1">
        <f t="shared" si="30"/>
        <v>1701.7931045870666</v>
      </c>
      <c r="AR20" s="1">
        <f t="shared" si="19"/>
        <v>276.38038930288803</v>
      </c>
    </row>
    <row r="21" spans="2:44" ht="12.75" outlineLevel="2">
      <c r="B21" s="11" t="s">
        <v>44</v>
      </c>
      <c r="C21" s="12">
        <v>500</v>
      </c>
      <c r="D21" s="3">
        <v>500</v>
      </c>
      <c r="E21" s="3">
        <v>200</v>
      </c>
      <c r="F21" s="3">
        <v>10.2</v>
      </c>
      <c r="G21" s="3">
        <v>16</v>
      </c>
      <c r="H21" s="3">
        <v>21</v>
      </c>
      <c r="I21" s="3">
        <f t="shared" si="31"/>
        <v>426</v>
      </c>
      <c r="J21" s="3"/>
      <c r="K21" s="2">
        <f t="shared" si="32"/>
        <v>115.521576397669</v>
      </c>
      <c r="L21" s="2">
        <v>48200</v>
      </c>
      <c r="M21" s="2">
        <f t="shared" si="20"/>
        <v>1928</v>
      </c>
      <c r="N21" s="4">
        <f t="shared" si="21"/>
        <v>20.42640628304037</v>
      </c>
      <c r="O21" s="3">
        <v>2140</v>
      </c>
      <c r="P21" s="2">
        <f t="shared" si="22"/>
        <v>214</v>
      </c>
      <c r="Q21" s="4">
        <f t="shared" si="23"/>
        <v>4.304030431849078</v>
      </c>
      <c r="R21" s="2">
        <f t="shared" si="24"/>
        <v>1097.058980442783</v>
      </c>
      <c r="S21" s="1">
        <f t="shared" si="2"/>
        <v>167.939509531444</v>
      </c>
      <c r="T21" s="8">
        <f t="shared" si="3"/>
        <v>1.7435468914507715</v>
      </c>
      <c r="U21" s="8">
        <f t="shared" si="4"/>
        <v>0.9068443747217015</v>
      </c>
      <c r="V21" s="8"/>
      <c r="W21" s="1">
        <f t="shared" si="5"/>
        <v>41.76470588235294</v>
      </c>
      <c r="X21" s="4">
        <f t="shared" si="6"/>
        <v>4.61875</v>
      </c>
      <c r="Y21" s="4">
        <f t="shared" si="7"/>
        <v>49.367999999999995</v>
      </c>
      <c r="Z21" s="2">
        <f t="shared" si="8"/>
        <v>242</v>
      </c>
      <c r="AA21" s="6">
        <f t="shared" si="9"/>
        <v>0.005250279094540188</v>
      </c>
      <c r="AB21" s="4">
        <f t="shared" si="10"/>
        <v>1249.3653333333334</v>
      </c>
      <c r="AC21" s="4">
        <f t="shared" si="11"/>
        <v>89.28705684181557</v>
      </c>
      <c r="AD21" s="8"/>
      <c r="AE21" s="2">
        <f t="shared" si="12"/>
        <v>2520.4707577673234</v>
      </c>
      <c r="AF21" s="2">
        <f t="shared" si="25"/>
        <v>3780.706136650985</v>
      </c>
      <c r="AG21" s="1">
        <f t="shared" si="13"/>
        <v>479.5461818181818</v>
      </c>
      <c r="AH21" s="1">
        <f t="shared" si="14"/>
        <v>719.3192727272727</v>
      </c>
      <c r="AI21" s="1">
        <f t="shared" si="15"/>
        <v>73.28269506826646</v>
      </c>
      <c r="AJ21" s="1">
        <f t="shared" si="16"/>
        <v>58.36363636363636</v>
      </c>
      <c r="AK21" s="1">
        <f t="shared" si="26"/>
        <v>109.9240426023997</v>
      </c>
      <c r="AL21" s="1">
        <f t="shared" si="27"/>
        <v>87.54545454545453</v>
      </c>
      <c r="AM21" s="1">
        <f t="shared" si="17"/>
        <v>621.8755219495297</v>
      </c>
      <c r="AN21" s="1">
        <f t="shared" si="28"/>
        <v>932.8132829242945</v>
      </c>
      <c r="AO21" s="1">
        <f t="shared" si="18"/>
        <v>806.1909213411501</v>
      </c>
      <c r="AP21" s="1">
        <f t="shared" si="29"/>
        <v>1209.2863820117252</v>
      </c>
      <c r="AQ21" s="1">
        <f t="shared" si="30"/>
        <v>2194.117960885566</v>
      </c>
      <c r="AR21" s="1">
        <f t="shared" si="19"/>
        <v>335.879019062888</v>
      </c>
    </row>
    <row r="22" spans="2:44" ht="12.75" outlineLevel="2">
      <c r="B22" s="11" t="s">
        <v>45</v>
      </c>
      <c r="C22" s="12">
        <v>550</v>
      </c>
      <c r="D22" s="3">
        <v>550</v>
      </c>
      <c r="E22" s="3">
        <v>210</v>
      </c>
      <c r="F22" s="3">
        <v>11.1</v>
      </c>
      <c r="G22" s="3">
        <v>17.2</v>
      </c>
      <c r="H22" s="3">
        <v>24</v>
      </c>
      <c r="I22" s="3">
        <f t="shared" si="31"/>
        <v>467</v>
      </c>
      <c r="J22" s="3"/>
      <c r="K22" s="2">
        <f t="shared" si="32"/>
        <v>134.4160263153228</v>
      </c>
      <c r="L22" s="2">
        <v>67120</v>
      </c>
      <c r="M22" s="2">
        <f t="shared" si="20"/>
        <v>2440.7272727272725</v>
      </c>
      <c r="N22" s="4">
        <f t="shared" si="21"/>
        <v>22.346033613918657</v>
      </c>
      <c r="O22" s="3">
        <v>2670</v>
      </c>
      <c r="P22" s="2">
        <f t="shared" si="22"/>
        <v>254.28571428571428</v>
      </c>
      <c r="Q22" s="4">
        <f t="shared" si="23"/>
        <v>4.456871415327375</v>
      </c>
      <c r="R22" s="2">
        <f t="shared" si="24"/>
        <v>1393.5027933972463</v>
      </c>
      <c r="S22" s="1">
        <f t="shared" si="2"/>
        <v>200.26826352489599</v>
      </c>
      <c r="T22" s="8">
        <f t="shared" si="3"/>
        <v>1.87539644737231</v>
      </c>
      <c r="U22" s="8">
        <f t="shared" si="4"/>
        <v>1.055165806575284</v>
      </c>
      <c r="V22" s="8"/>
      <c r="W22" s="1">
        <f t="shared" si="5"/>
        <v>42.12612612612613</v>
      </c>
      <c r="X22" s="4">
        <f t="shared" si="6"/>
        <v>4.386627906976744</v>
      </c>
      <c r="Y22" s="4">
        <f t="shared" si="7"/>
        <v>59.14079999999999</v>
      </c>
      <c r="Z22" s="2">
        <f t="shared" si="8"/>
        <v>279.71999999999997</v>
      </c>
      <c r="AA22" s="6">
        <f t="shared" si="9"/>
        <v>0.005022842951448021</v>
      </c>
      <c r="AB22" s="4">
        <f t="shared" si="10"/>
        <v>1884.0981438719996</v>
      </c>
      <c r="AC22" s="4">
        <f t="shared" si="11"/>
        <v>123.2358305221581</v>
      </c>
      <c r="AD22" s="8"/>
      <c r="AE22" s="2">
        <f t="shared" si="12"/>
        <v>2932.7133014252245</v>
      </c>
      <c r="AF22" s="2">
        <f t="shared" si="25"/>
        <v>4399.0699521378365</v>
      </c>
      <c r="AG22" s="1">
        <f t="shared" si="13"/>
        <v>608.0739462097074</v>
      </c>
      <c r="AH22" s="1">
        <f t="shared" si="14"/>
        <v>912.1109193145611</v>
      </c>
      <c r="AI22" s="1">
        <f t="shared" si="15"/>
        <v>87.3897877199546</v>
      </c>
      <c r="AJ22" s="1">
        <f t="shared" si="16"/>
        <v>69.35064935064933</v>
      </c>
      <c r="AK22" s="1">
        <f t="shared" si="26"/>
        <v>131.0846815799319</v>
      </c>
      <c r="AL22" s="1">
        <f t="shared" si="27"/>
        <v>104.025974025974</v>
      </c>
      <c r="AM22" s="1">
        <f t="shared" si="17"/>
        <v>744.9808756383231</v>
      </c>
      <c r="AN22" s="1">
        <f t="shared" si="28"/>
        <v>1117.4713134574847</v>
      </c>
      <c r="AO22" s="1">
        <f t="shared" si="18"/>
        <v>909.9880024638232</v>
      </c>
      <c r="AP22" s="1">
        <f t="shared" si="29"/>
        <v>1364.9820036957349</v>
      </c>
      <c r="AQ22" s="1">
        <f t="shared" si="30"/>
        <v>2787.0055867944925</v>
      </c>
      <c r="AR22" s="1">
        <f t="shared" si="19"/>
        <v>400.53652704979197</v>
      </c>
    </row>
    <row r="23" spans="1:44" ht="12.75" outlineLevel="2">
      <c r="A23" s="18" t="s">
        <v>152</v>
      </c>
      <c r="B23" s="11" t="s">
        <v>46</v>
      </c>
      <c r="C23" s="12">
        <v>600</v>
      </c>
      <c r="D23" s="3">
        <v>600</v>
      </c>
      <c r="E23" s="3">
        <v>220</v>
      </c>
      <c r="F23" s="3">
        <v>12</v>
      </c>
      <c r="G23" s="3">
        <v>19</v>
      </c>
      <c r="H23" s="3">
        <v>24</v>
      </c>
      <c r="I23" s="3">
        <f t="shared" si="31"/>
        <v>514</v>
      </c>
      <c r="J23" s="3"/>
      <c r="K23" s="2">
        <f t="shared" si="32"/>
        <v>155.9844263153228</v>
      </c>
      <c r="L23" s="2">
        <v>92080</v>
      </c>
      <c r="M23" s="2">
        <f t="shared" si="20"/>
        <v>3069.3333333333335</v>
      </c>
      <c r="N23" s="4">
        <f t="shared" si="21"/>
        <v>24.29640595255884</v>
      </c>
      <c r="O23" s="3">
        <v>3390</v>
      </c>
      <c r="P23" s="2">
        <f t="shared" si="22"/>
        <v>308.1818181818182</v>
      </c>
      <c r="Q23" s="4">
        <f t="shared" si="23"/>
        <v>4.661860021340176</v>
      </c>
      <c r="R23" s="2">
        <f t="shared" si="24"/>
        <v>1756.1998659230208</v>
      </c>
      <c r="S23" s="1">
        <f t="shared" si="2"/>
        <v>242.82462766489598</v>
      </c>
      <c r="T23" s="8">
        <f t="shared" si="3"/>
        <v>2.01479644737231</v>
      </c>
      <c r="U23" s="8">
        <f t="shared" si="4"/>
        <v>1.2244777465752839</v>
      </c>
      <c r="V23" s="8"/>
      <c r="W23" s="1">
        <f t="shared" si="5"/>
        <v>42.833333333333336</v>
      </c>
      <c r="X23" s="4">
        <f t="shared" si="6"/>
        <v>4.2105263157894735</v>
      </c>
      <c r="Y23" s="4">
        <f t="shared" si="7"/>
        <v>69.72</v>
      </c>
      <c r="Z23" s="2">
        <f t="shared" si="8"/>
        <v>319.55</v>
      </c>
      <c r="AA23" s="6">
        <f t="shared" si="9"/>
        <v>0.004735231960715905</v>
      </c>
      <c r="AB23" s="4">
        <f t="shared" si="10"/>
        <v>2845.5267096666666</v>
      </c>
      <c r="AC23" s="4">
        <f t="shared" si="11"/>
        <v>165.41674049379733</v>
      </c>
      <c r="AD23" s="8"/>
      <c r="AE23" s="2">
        <f t="shared" si="12"/>
        <v>3403.296574152497</v>
      </c>
      <c r="AF23" s="2">
        <f t="shared" si="25"/>
        <v>5104.944861228746</v>
      </c>
      <c r="AG23" s="1">
        <f t="shared" si="13"/>
        <v>766.3417596754999</v>
      </c>
      <c r="AH23" s="1">
        <f t="shared" si="14"/>
        <v>1149.51263951325</v>
      </c>
      <c r="AI23" s="1">
        <f t="shared" si="15"/>
        <v>105.95983752650005</v>
      </c>
      <c r="AJ23" s="1">
        <f t="shared" si="16"/>
        <v>84.0495867768595</v>
      </c>
      <c r="AK23" s="1">
        <f t="shared" si="26"/>
        <v>158.93975628975008</v>
      </c>
      <c r="AL23" s="1">
        <f t="shared" si="27"/>
        <v>126.07438016528926</v>
      </c>
      <c r="AM23" s="1">
        <f t="shared" si="17"/>
        <v>878.2442349360155</v>
      </c>
      <c r="AN23" s="1">
        <f t="shared" si="28"/>
        <v>1317.3663524040232</v>
      </c>
      <c r="AO23" s="1">
        <f t="shared" si="18"/>
        <v>1053.0868910018773</v>
      </c>
      <c r="AP23" s="1">
        <f t="shared" si="29"/>
        <v>1579.6303365028161</v>
      </c>
      <c r="AQ23" s="1">
        <f t="shared" si="30"/>
        <v>3512.3997318460415</v>
      </c>
      <c r="AR23" s="1">
        <f t="shared" si="19"/>
        <v>485.64925532979197</v>
      </c>
    </row>
    <row r="24" spans="1:44" ht="12.75">
      <c r="A24" s="18" t="s">
        <v>161</v>
      </c>
      <c r="B24" s="17" t="s">
        <v>122</v>
      </c>
      <c r="C24" s="3">
        <v>180</v>
      </c>
      <c r="D24" s="3">
        <v>182</v>
      </c>
      <c r="E24" s="3">
        <v>92</v>
      </c>
      <c r="F24" s="3">
        <v>6</v>
      </c>
      <c r="G24" s="3">
        <v>9</v>
      </c>
      <c r="H24" s="3">
        <v>9</v>
      </c>
      <c r="I24" s="3">
        <f t="shared" si="31"/>
        <v>146</v>
      </c>
      <c r="J24" s="3"/>
      <c r="K24" s="3">
        <f aca="true" t="shared" si="33" ref="K24:K41">((D24-2*G24)*F24+2*E24*G24+((2*H24)^2-H24^2*PI()))/100</f>
        <v>27.095309950592267</v>
      </c>
      <c r="L24" s="3">
        <v>1510</v>
      </c>
      <c r="M24" s="2">
        <f aca="true" t="shared" si="34" ref="M24:M41">2*L24/(D24/10)</f>
        <v>165.93406593406593</v>
      </c>
      <c r="N24" s="1">
        <f aca="true" t="shared" si="35" ref="N24:N41">SQRT(L24/K24)</f>
        <v>7.465199390842799</v>
      </c>
      <c r="O24" s="3">
        <v>117</v>
      </c>
      <c r="P24" s="1">
        <f aca="true" t="shared" si="36" ref="P24:P41">2*O24/(E24/10)</f>
        <v>25.434782608695656</v>
      </c>
      <c r="Q24" s="4">
        <f aca="true" t="shared" si="37" ref="Q24:Q41">SQRT(O24/K24)</f>
        <v>2.078001559632283</v>
      </c>
      <c r="R24" s="2">
        <f aca="true" t="shared" si="38" ref="R24:R41">((E24*G24*(D24-G24)/2)+((D24-2*G24)*F24/2*(D24/2-G24)/2)+((H24^2-H24^2*PI()/4)*2*(D24/2-G24-0.22337*H24)))*1/1000</f>
        <v>94.57488067477959</v>
      </c>
      <c r="S24" s="1">
        <f aca="true" t="shared" si="39" ref="S24:S29">((2*(E24/2*G24*E24/4))+(F24/2*(D24-2*G24)*F24/4)+(2*0.2146*H24^2*(F24/2+0.22337*H24)))*1/1000</f>
        <v>19.956185124516</v>
      </c>
      <c r="T24" s="8">
        <f aca="true" t="shared" si="40" ref="T24:T29">(2*E24+4*G24+2*I24-4*H24/2+2*H24*PI()+2*(E24-F24-2*H24/2))/1000</f>
        <v>0.7045486677646163</v>
      </c>
      <c r="U24" s="8">
        <f aca="true" t="shared" si="41" ref="U24:U29">$T$1*K24/10000</f>
        <v>0.2126981831121493</v>
      </c>
      <c r="V24" s="8"/>
      <c r="W24" s="1">
        <f aca="true" t="shared" si="42" ref="W24:W41">(D24-2*G24-2*H24)/F24</f>
        <v>24.333333333333332</v>
      </c>
      <c r="X24" s="4">
        <f aca="true" t="shared" si="43" ref="X24:X29">(E24/2-F24/2-H24)/G24</f>
        <v>3.7777777777777777</v>
      </c>
      <c r="Y24" s="4">
        <f aca="true" t="shared" si="44" ref="Y24:Y29">(D24-G24)*F24/100</f>
        <v>10.38</v>
      </c>
      <c r="Z24" s="2">
        <f aca="true" t="shared" si="45" ref="Z24:Z29">0.25*(D24-G24)*E24/100</f>
        <v>39.79</v>
      </c>
      <c r="AA24" s="6">
        <f aca="true" t="shared" si="46" ref="AA24:AA29">SQRT($G$1/100*AC24/($M$1/100*AB24*10^3))</f>
        <v>0.01726668358854048</v>
      </c>
      <c r="AB24" s="1">
        <f aca="true" t="shared" si="47" ref="AB24:AB29">G24*E24^3*(D24-G24)^2/24000000000</f>
        <v>8.739507432</v>
      </c>
      <c r="AC24" s="4">
        <f aca="true" t="shared" si="48" ref="AC24:AC29">(2/3*G24^3*(E24-0.63*G24)+F24^3/3*(D24-2*G24)+(((H24+F24/2)^2+(H24+G24)^2-H24^2)/(2*H24+G24))^4*2*F24/G24*(0.145+0.1*H24/G24))/10000</f>
        <v>6.7552137119341555</v>
      </c>
      <c r="AD24" s="8"/>
      <c r="AE24" s="2">
        <f aca="true" t="shared" si="49" ref="AE24:AE29">24/$AI$1*K24</f>
        <v>591.1703989220131</v>
      </c>
      <c r="AF24" s="2">
        <f aca="true" t="shared" si="50" ref="AF24:AF29">36/$AI$1*K24</f>
        <v>886.7555983830196</v>
      </c>
      <c r="AG24" s="1">
        <f aca="true" t="shared" si="51" ref="AG24:AG29">MAX(24/$AI$1*2*R24,1.14*24/$AI$1*M24)/100</f>
        <v>41.27232767232766</v>
      </c>
      <c r="AH24" s="1">
        <f aca="true" t="shared" si="52" ref="AH24:AH29">1.5*AG24</f>
        <v>61.908491508491494</v>
      </c>
      <c r="AI24" s="1">
        <f aca="true" t="shared" si="53" ref="AI24:AI29">24/$AI$1*2*S24/100</f>
        <v>8.70815350887971</v>
      </c>
      <c r="AJ24" s="1">
        <f aca="true" t="shared" si="54" ref="AJ24:AJ29">1.25*24/$AI$1*P24/100</f>
        <v>6.936758893280633</v>
      </c>
      <c r="AK24" s="1">
        <f aca="true" t="shared" si="55" ref="AK24:AK41">1.5*AI24</f>
        <v>13.062230263319563</v>
      </c>
      <c r="AL24" s="1">
        <f t="shared" si="27"/>
        <v>10.40513833992095</v>
      </c>
      <c r="AM24" s="1">
        <f aca="true" t="shared" si="56" ref="AM24:AM29">24/(SQRT(3)*$AI$1)*(D24-G24)*F24/100</f>
        <v>130.7540900550178</v>
      </c>
      <c r="AN24" s="1">
        <f aca="true" t="shared" si="57" ref="AN24:AN41">1.5*AM24</f>
        <v>196.1311350825267</v>
      </c>
      <c r="AO24" s="1">
        <f aca="true" t="shared" si="58" ref="AO24:AO29">24/(SQRT(3)*$AI$1)*2*E24*G24/100</f>
        <v>208.60190089702257</v>
      </c>
      <c r="AP24" s="1">
        <f aca="true" t="shared" si="59" ref="AP24:AP41">1.5*AO24</f>
        <v>312.90285134553386</v>
      </c>
      <c r="AQ24" s="1">
        <f aca="true" t="shared" si="60" ref="AQ24:AR29">2*R24</f>
        <v>189.14976134955918</v>
      </c>
      <c r="AR24" s="1">
        <f t="shared" si="60"/>
        <v>39.912370249032</v>
      </c>
    </row>
    <row r="25" spans="2:44" ht="12.75" outlineLevel="1">
      <c r="B25" s="5" t="s">
        <v>123</v>
      </c>
      <c r="C25" s="3">
        <v>200</v>
      </c>
      <c r="D25" s="3">
        <v>202</v>
      </c>
      <c r="E25" s="3">
        <v>102</v>
      </c>
      <c r="F25" s="3">
        <v>6.2</v>
      </c>
      <c r="G25" s="3">
        <v>9.5</v>
      </c>
      <c r="H25" s="3">
        <v>12</v>
      </c>
      <c r="I25" s="3">
        <f t="shared" si="31"/>
        <v>159</v>
      </c>
      <c r="J25" s="3"/>
      <c r="K25" s="3">
        <f t="shared" si="33"/>
        <v>31.962106578830703</v>
      </c>
      <c r="L25" s="3">
        <v>2210</v>
      </c>
      <c r="M25" s="2">
        <f t="shared" si="34"/>
        <v>218.81188118811883</v>
      </c>
      <c r="N25" s="1">
        <f t="shared" si="35"/>
        <v>8.315309895499205</v>
      </c>
      <c r="O25" s="3">
        <v>169</v>
      </c>
      <c r="P25" s="1">
        <f t="shared" si="36"/>
        <v>33.13725490196079</v>
      </c>
      <c r="Q25" s="4">
        <f t="shared" si="37"/>
        <v>2.299458916605269</v>
      </c>
      <c r="R25" s="2">
        <f t="shared" si="38"/>
        <v>124.7097471222424</v>
      </c>
      <c r="S25" s="1">
        <f t="shared" si="39"/>
        <v>25.946073938112</v>
      </c>
      <c r="T25" s="8">
        <f t="shared" si="40"/>
        <v>0.778998223686155</v>
      </c>
      <c r="U25" s="8">
        <f t="shared" si="41"/>
        <v>0.250902536643821</v>
      </c>
      <c r="V25" s="8"/>
      <c r="W25" s="1">
        <f t="shared" si="42"/>
        <v>25.64516129032258</v>
      </c>
      <c r="X25" s="4">
        <f t="shared" si="43"/>
        <v>3.7789473684210524</v>
      </c>
      <c r="Y25" s="4">
        <f t="shared" si="44"/>
        <v>11.935</v>
      </c>
      <c r="Z25" s="2">
        <f t="shared" si="45"/>
        <v>49.0875</v>
      </c>
      <c r="AA25" s="6">
        <f t="shared" si="46"/>
        <v>0.015298918321824076</v>
      </c>
      <c r="AB25" s="1">
        <f t="shared" si="47"/>
        <v>15.565903959375</v>
      </c>
      <c r="AC25" s="4">
        <f t="shared" si="48"/>
        <v>9.445611401140004</v>
      </c>
      <c r="AD25" s="8"/>
      <c r="AE25" s="2">
        <f t="shared" si="49"/>
        <v>697.3550526290335</v>
      </c>
      <c r="AF25" s="2">
        <f t="shared" si="50"/>
        <v>1046.0325789435503</v>
      </c>
      <c r="AG25" s="1">
        <f t="shared" si="51"/>
        <v>54.424482448244824</v>
      </c>
      <c r="AH25" s="1">
        <f t="shared" si="52"/>
        <v>81.63672367236724</v>
      </c>
      <c r="AI25" s="1">
        <f t="shared" si="53"/>
        <v>11.321923172994326</v>
      </c>
      <c r="AJ25" s="1">
        <f t="shared" si="54"/>
        <v>9.037433155080214</v>
      </c>
      <c r="AK25" s="1">
        <f t="shared" si="55"/>
        <v>16.98288475949149</v>
      </c>
      <c r="AL25" s="1">
        <f t="shared" si="27"/>
        <v>13.55614973262032</v>
      </c>
      <c r="AM25" s="1">
        <f t="shared" si="56"/>
        <v>150.34201009697853</v>
      </c>
      <c r="AN25" s="1">
        <f t="shared" si="57"/>
        <v>225.5130151454678</v>
      </c>
      <c r="AO25" s="1">
        <f t="shared" si="58"/>
        <v>244.124688368617</v>
      </c>
      <c r="AP25" s="1">
        <f t="shared" si="59"/>
        <v>366.18703255292553</v>
      </c>
      <c r="AQ25" s="1">
        <f t="shared" si="60"/>
        <v>249.4194942444848</v>
      </c>
      <c r="AR25" s="1">
        <f t="shared" si="60"/>
        <v>51.892147876224</v>
      </c>
    </row>
    <row r="26" spans="2:44" ht="12.75" outlineLevel="1">
      <c r="B26" s="5" t="s">
        <v>111</v>
      </c>
      <c r="C26" s="3">
        <v>220</v>
      </c>
      <c r="D26" s="3">
        <v>222</v>
      </c>
      <c r="E26" s="3">
        <v>112</v>
      </c>
      <c r="F26" s="3">
        <v>6.6</v>
      </c>
      <c r="G26" s="3">
        <v>10.2</v>
      </c>
      <c r="H26" s="3">
        <v>12</v>
      </c>
      <c r="I26" s="3">
        <f t="shared" si="31"/>
        <v>177</v>
      </c>
      <c r="J26" s="3"/>
      <c r="K26" s="5">
        <f t="shared" si="33"/>
        <v>37.3897065788307</v>
      </c>
      <c r="L26" s="3">
        <v>3130</v>
      </c>
      <c r="M26" s="2">
        <f t="shared" si="34"/>
        <v>281.981981981982</v>
      </c>
      <c r="N26" s="1">
        <f t="shared" si="35"/>
        <v>9.149474272506131</v>
      </c>
      <c r="O26" s="3">
        <v>240</v>
      </c>
      <c r="P26" s="1">
        <f t="shared" si="36"/>
        <v>42.85714285714286</v>
      </c>
      <c r="Q26" s="4">
        <f t="shared" si="37"/>
        <v>2.5335506579658826</v>
      </c>
      <c r="R26" s="2">
        <f t="shared" si="38"/>
        <v>160.57458368139865</v>
      </c>
      <c r="S26" s="1">
        <f t="shared" si="39"/>
        <v>33.454531898112</v>
      </c>
      <c r="T26" s="8">
        <f t="shared" si="40"/>
        <v>0.856998223686155</v>
      </c>
      <c r="U26" s="8">
        <f t="shared" si="41"/>
        <v>0.293509196643821</v>
      </c>
      <c r="V26" s="8"/>
      <c r="W26" s="1">
        <f t="shared" si="42"/>
        <v>26.90909090909091</v>
      </c>
      <c r="X26" s="4">
        <f t="shared" si="43"/>
        <v>3.990196078431373</v>
      </c>
      <c r="Y26" s="4">
        <f t="shared" si="44"/>
        <v>13.978800000000001</v>
      </c>
      <c r="Z26" s="2">
        <f t="shared" si="45"/>
        <v>59.304</v>
      </c>
      <c r="AA26" s="6">
        <f t="shared" si="46"/>
        <v>0.013292469337705922</v>
      </c>
      <c r="AB26" s="1">
        <f t="shared" si="47"/>
        <v>26.785200992256</v>
      </c>
      <c r="AC26" s="4">
        <f t="shared" si="48"/>
        <v>12.269885777510936</v>
      </c>
      <c r="AD26" s="8"/>
      <c r="AE26" s="2">
        <f t="shared" si="49"/>
        <v>815.775416265397</v>
      </c>
      <c r="AF26" s="2">
        <f t="shared" si="50"/>
        <v>1223.6631243980955</v>
      </c>
      <c r="AG26" s="1">
        <f t="shared" si="51"/>
        <v>70.13660933660934</v>
      </c>
      <c r="AH26" s="1">
        <f t="shared" si="52"/>
        <v>105.204914004914</v>
      </c>
      <c r="AI26" s="1">
        <f t="shared" si="53"/>
        <v>14.598341191903419</v>
      </c>
      <c r="AJ26" s="1">
        <f t="shared" si="54"/>
        <v>11.688311688311687</v>
      </c>
      <c r="AK26" s="1">
        <f t="shared" si="55"/>
        <v>21.89751178785513</v>
      </c>
      <c r="AL26" s="1">
        <f t="shared" si="27"/>
        <v>17.532467532467532</v>
      </c>
      <c r="AM26" s="1">
        <f t="shared" si="56"/>
        <v>176.08721330068235</v>
      </c>
      <c r="AN26" s="1">
        <f t="shared" si="57"/>
        <v>264.1308199510235</v>
      </c>
      <c r="AO26" s="1">
        <f t="shared" si="58"/>
        <v>287.8101589187906</v>
      </c>
      <c r="AP26" s="1">
        <f t="shared" si="59"/>
        <v>431.71523837818586</v>
      </c>
      <c r="AQ26" s="1">
        <f t="shared" si="60"/>
        <v>321.1491673627973</v>
      </c>
      <c r="AR26" s="1">
        <f t="shared" si="60"/>
        <v>66.909063796224</v>
      </c>
    </row>
    <row r="27" spans="2:44" ht="12.75" outlineLevel="1">
      <c r="B27" s="5" t="s">
        <v>112</v>
      </c>
      <c r="C27" s="3">
        <v>240</v>
      </c>
      <c r="D27" s="3">
        <v>242</v>
      </c>
      <c r="E27" s="3">
        <v>122</v>
      </c>
      <c r="F27" s="3">
        <v>7</v>
      </c>
      <c r="G27" s="3">
        <v>10.8</v>
      </c>
      <c r="H27" s="3">
        <v>15</v>
      </c>
      <c r="I27" s="3">
        <f t="shared" si="31"/>
        <v>190</v>
      </c>
      <c r="J27" s="3"/>
      <c r="K27" s="5">
        <f t="shared" si="33"/>
        <v>43.71141652942297</v>
      </c>
      <c r="L27" s="3">
        <v>4370</v>
      </c>
      <c r="M27" s="2">
        <f t="shared" si="34"/>
        <v>361.1570247933884</v>
      </c>
      <c r="N27" s="1">
        <f t="shared" si="35"/>
        <v>9.998694016818954</v>
      </c>
      <c r="O27" s="3">
        <v>329</v>
      </c>
      <c r="P27" s="1">
        <f t="shared" si="36"/>
        <v>53.9344262295082</v>
      </c>
      <c r="Q27" s="4">
        <f t="shared" si="37"/>
        <v>2.743471851747194</v>
      </c>
      <c r="R27" s="2">
        <f t="shared" si="38"/>
        <v>205.13723969448765</v>
      </c>
      <c r="S27" s="1">
        <f t="shared" si="39"/>
        <v>42.1983076135</v>
      </c>
      <c r="T27" s="8">
        <f t="shared" si="40"/>
        <v>0.9314477796076939</v>
      </c>
      <c r="U27" s="8">
        <f t="shared" si="41"/>
        <v>0.3431346197559703</v>
      </c>
      <c r="V27" s="8"/>
      <c r="W27" s="1">
        <f t="shared" si="42"/>
        <v>27.2</v>
      </c>
      <c r="X27" s="4">
        <f t="shared" si="43"/>
        <v>3.935185185185185</v>
      </c>
      <c r="Y27" s="4">
        <f t="shared" si="44"/>
        <v>16.183999999999997</v>
      </c>
      <c r="Z27" s="2">
        <f t="shared" si="45"/>
        <v>70.51599999999999</v>
      </c>
      <c r="AA27" s="6">
        <f t="shared" si="46"/>
        <v>0.012318299260665598</v>
      </c>
      <c r="AB27" s="1">
        <f t="shared" si="47"/>
        <v>43.678494952704</v>
      </c>
      <c r="AC27" s="4">
        <f t="shared" si="48"/>
        <v>17.183176158175808</v>
      </c>
      <c r="AD27" s="8"/>
      <c r="AE27" s="2">
        <f t="shared" si="49"/>
        <v>953.7036333692283</v>
      </c>
      <c r="AF27" s="2">
        <f t="shared" si="50"/>
        <v>1430.5554500538426</v>
      </c>
      <c r="AG27" s="1">
        <f t="shared" si="51"/>
        <v>89.82960180315551</v>
      </c>
      <c r="AH27" s="1">
        <f t="shared" si="52"/>
        <v>134.74440270473326</v>
      </c>
      <c r="AI27" s="1">
        <f t="shared" si="53"/>
        <v>18.413806958618178</v>
      </c>
      <c r="AJ27" s="1">
        <f t="shared" si="54"/>
        <v>14.709388971684053</v>
      </c>
      <c r="AK27" s="1">
        <f t="shared" si="55"/>
        <v>27.620710437927265</v>
      </c>
      <c r="AL27" s="1">
        <f t="shared" si="27"/>
        <v>22.06408345752608</v>
      </c>
      <c r="AM27" s="1">
        <f t="shared" si="56"/>
        <v>203.8655292341433</v>
      </c>
      <c r="AN27" s="1">
        <f t="shared" si="57"/>
        <v>305.79829385121496</v>
      </c>
      <c r="AO27" s="1">
        <f t="shared" si="58"/>
        <v>331.94911186221856</v>
      </c>
      <c r="AP27" s="1">
        <f t="shared" si="59"/>
        <v>497.9236677933278</v>
      </c>
      <c r="AQ27" s="1">
        <f t="shared" si="60"/>
        <v>410.2744793889753</v>
      </c>
      <c r="AR27" s="1">
        <f t="shared" si="60"/>
        <v>84.396615227</v>
      </c>
    </row>
    <row r="28" spans="2:44" ht="12.75" outlineLevel="1">
      <c r="B28" s="5" t="s">
        <v>113</v>
      </c>
      <c r="C28" s="3">
        <v>270</v>
      </c>
      <c r="D28" s="3">
        <v>274</v>
      </c>
      <c r="E28" s="3">
        <v>136</v>
      </c>
      <c r="F28" s="3">
        <v>7.5</v>
      </c>
      <c r="G28" s="3">
        <v>12.2</v>
      </c>
      <c r="H28" s="3">
        <v>15</v>
      </c>
      <c r="I28" s="3">
        <f t="shared" si="31"/>
        <v>219</v>
      </c>
      <c r="J28" s="3"/>
      <c r="K28" s="5">
        <f t="shared" si="33"/>
        <v>53.835416529422965</v>
      </c>
      <c r="L28" s="3">
        <v>6950</v>
      </c>
      <c r="M28" s="2">
        <f t="shared" si="34"/>
        <v>507.2992700729927</v>
      </c>
      <c r="N28" s="1">
        <f t="shared" si="35"/>
        <v>11.362093622709537</v>
      </c>
      <c r="O28" s="3">
        <v>513</v>
      </c>
      <c r="P28" s="1">
        <f t="shared" si="36"/>
        <v>75.44117647058823</v>
      </c>
      <c r="Q28" s="4">
        <f t="shared" si="37"/>
        <v>3.086914805754246</v>
      </c>
      <c r="R28" s="2">
        <f t="shared" si="38"/>
        <v>287.3241537609664</v>
      </c>
      <c r="S28" s="1">
        <f t="shared" si="39"/>
        <v>58.8535001135</v>
      </c>
      <c r="T28" s="8">
        <f t="shared" si="40"/>
        <v>1.050047779607694</v>
      </c>
      <c r="U28" s="8">
        <f t="shared" si="41"/>
        <v>0.42260801975597023</v>
      </c>
      <c r="V28" s="8"/>
      <c r="W28" s="1">
        <f t="shared" si="42"/>
        <v>29.279999999999998</v>
      </c>
      <c r="X28" s="4">
        <f t="shared" si="43"/>
        <v>4.036885245901639</v>
      </c>
      <c r="Y28" s="4">
        <f t="shared" si="44"/>
        <v>19.635</v>
      </c>
      <c r="Z28" s="2">
        <f t="shared" si="45"/>
        <v>89.012</v>
      </c>
      <c r="AA28" s="6">
        <f t="shared" si="46"/>
        <v>0.010467714293799918</v>
      </c>
      <c r="AB28" s="1">
        <f t="shared" si="47"/>
        <v>87.64044993416533</v>
      </c>
      <c r="AC28" s="4">
        <f t="shared" si="48"/>
        <v>24.896746385168743</v>
      </c>
      <c r="AD28" s="8"/>
      <c r="AE28" s="2">
        <f t="shared" si="49"/>
        <v>1174.590906096501</v>
      </c>
      <c r="AF28" s="2">
        <f t="shared" si="50"/>
        <v>1761.8863591447516</v>
      </c>
      <c r="AG28" s="1">
        <f t="shared" si="51"/>
        <v>126.17916390179164</v>
      </c>
      <c r="AH28" s="1">
        <f t="shared" si="52"/>
        <v>189.26874585268746</v>
      </c>
      <c r="AI28" s="1">
        <f t="shared" si="53"/>
        <v>25.681527322254542</v>
      </c>
      <c r="AJ28" s="1">
        <f t="shared" si="54"/>
        <v>20.574866310160424</v>
      </c>
      <c r="AK28" s="1">
        <f t="shared" si="55"/>
        <v>38.522290983381815</v>
      </c>
      <c r="AL28" s="1">
        <f t="shared" si="27"/>
        <v>30.862299465240635</v>
      </c>
      <c r="AM28" s="1">
        <f t="shared" si="56"/>
        <v>247.33685532083567</v>
      </c>
      <c r="AN28" s="1">
        <f t="shared" si="57"/>
        <v>371.0052829812535</v>
      </c>
      <c r="AO28" s="1">
        <f t="shared" si="58"/>
        <v>418.0099927153863</v>
      </c>
      <c r="AP28" s="1">
        <f t="shared" si="59"/>
        <v>627.0149890730795</v>
      </c>
      <c r="AQ28" s="1">
        <f t="shared" si="60"/>
        <v>574.6483075219328</v>
      </c>
      <c r="AR28" s="1">
        <f t="shared" si="60"/>
        <v>117.707000227</v>
      </c>
    </row>
    <row r="29" spans="2:44" ht="12.75" outlineLevel="1">
      <c r="B29" s="5" t="s">
        <v>114</v>
      </c>
      <c r="C29" s="3">
        <v>300</v>
      </c>
      <c r="D29" s="3">
        <v>304</v>
      </c>
      <c r="E29" s="3">
        <v>152</v>
      </c>
      <c r="F29" s="3">
        <v>8</v>
      </c>
      <c r="G29" s="3">
        <v>12.7</v>
      </c>
      <c r="H29" s="3">
        <v>15</v>
      </c>
      <c r="I29" s="3">
        <f t="shared" si="31"/>
        <v>248</v>
      </c>
      <c r="J29" s="3"/>
      <c r="K29" s="5">
        <f t="shared" si="33"/>
        <v>62.82741652942297</v>
      </c>
      <c r="L29" s="3">
        <v>9990</v>
      </c>
      <c r="M29" s="2">
        <f t="shared" si="34"/>
        <v>657.2368421052632</v>
      </c>
      <c r="N29" s="1">
        <f t="shared" si="35"/>
        <v>12.609798396357903</v>
      </c>
      <c r="O29" s="3">
        <v>746</v>
      </c>
      <c r="P29" s="1">
        <f t="shared" si="36"/>
        <v>98.15789473684211</v>
      </c>
      <c r="Q29" s="4">
        <f t="shared" si="37"/>
        <v>3.4458376573311225</v>
      </c>
      <c r="R29" s="2">
        <f t="shared" si="38"/>
        <v>371.90947074479806</v>
      </c>
      <c r="S29" s="1">
        <f t="shared" si="39"/>
        <v>76.2938426135</v>
      </c>
      <c r="T29" s="8">
        <f t="shared" si="40"/>
        <v>1.173047779607694</v>
      </c>
      <c r="U29" s="8">
        <f t="shared" si="41"/>
        <v>0.49319521975597025</v>
      </c>
      <c r="V29" s="8"/>
      <c r="W29" s="1">
        <f t="shared" si="42"/>
        <v>31.075000000000003</v>
      </c>
      <c r="X29" s="4">
        <f t="shared" si="43"/>
        <v>4.488188976377953</v>
      </c>
      <c r="Y29" s="4">
        <f t="shared" si="44"/>
        <v>23.304000000000002</v>
      </c>
      <c r="Z29" s="2">
        <f t="shared" si="45"/>
        <v>110.694</v>
      </c>
      <c r="AA29" s="6">
        <f t="shared" si="46"/>
        <v>0.008715911350733725</v>
      </c>
      <c r="AB29" s="1">
        <f t="shared" si="47"/>
        <v>157.69002148089598</v>
      </c>
      <c r="AC29" s="4">
        <f t="shared" si="48"/>
        <v>31.057328591854056</v>
      </c>
      <c r="AD29" s="8"/>
      <c r="AE29" s="2">
        <f t="shared" si="49"/>
        <v>1370.779997005592</v>
      </c>
      <c r="AF29" s="2">
        <f t="shared" si="50"/>
        <v>2056.169995508388</v>
      </c>
      <c r="AG29" s="1">
        <f t="shared" si="51"/>
        <v>163.47272727272727</v>
      </c>
      <c r="AH29" s="1">
        <f t="shared" si="52"/>
        <v>245.2090909090909</v>
      </c>
      <c r="AI29" s="1">
        <f t="shared" si="53"/>
        <v>33.29185859498182</v>
      </c>
      <c r="AJ29" s="1">
        <f t="shared" si="54"/>
        <v>26.770334928229662</v>
      </c>
      <c r="AK29" s="1">
        <f t="shared" si="55"/>
        <v>49.93778789247273</v>
      </c>
      <c r="AL29" s="1">
        <f t="shared" si="27"/>
        <v>40.155502392344495</v>
      </c>
      <c r="AM29" s="1">
        <f t="shared" si="56"/>
        <v>293.5542692333463</v>
      </c>
      <c r="AN29" s="1">
        <f t="shared" si="57"/>
        <v>440.33140385001946</v>
      </c>
      <c r="AO29" s="1">
        <f t="shared" si="58"/>
        <v>486.3346732990488</v>
      </c>
      <c r="AP29" s="1">
        <f t="shared" si="59"/>
        <v>729.5020099485732</v>
      </c>
      <c r="AQ29" s="1">
        <f t="shared" si="60"/>
        <v>743.8189414895961</v>
      </c>
      <c r="AR29" s="1">
        <f t="shared" si="60"/>
        <v>152.587685227</v>
      </c>
    </row>
    <row r="30" spans="2:44" ht="12.75" outlineLevel="1">
      <c r="B30" s="5" t="s">
        <v>115</v>
      </c>
      <c r="C30" s="3">
        <v>330</v>
      </c>
      <c r="D30" s="3">
        <v>334</v>
      </c>
      <c r="E30" s="3">
        <v>162</v>
      </c>
      <c r="F30" s="3">
        <v>8.5</v>
      </c>
      <c r="G30" s="3">
        <v>13.5</v>
      </c>
      <c r="H30" s="3">
        <v>18</v>
      </c>
      <c r="I30" s="3">
        <f t="shared" si="31"/>
        <v>271</v>
      </c>
      <c r="J30" s="3"/>
      <c r="K30" s="5">
        <f t="shared" si="33"/>
        <v>72.61623980236908</v>
      </c>
      <c r="L30" s="3">
        <v>13910</v>
      </c>
      <c r="M30" s="2">
        <f t="shared" si="34"/>
        <v>832.934131736527</v>
      </c>
      <c r="N30" s="1">
        <f t="shared" si="35"/>
        <v>13.840337693091943</v>
      </c>
      <c r="O30" s="3">
        <v>960</v>
      </c>
      <c r="P30" s="1">
        <f t="shared" si="36"/>
        <v>118.51851851851852</v>
      </c>
      <c r="Q30" s="4">
        <f t="shared" si="37"/>
        <v>3.635956997786597</v>
      </c>
      <c r="R30" s="2">
        <f t="shared" si="38"/>
        <v>471.39320700199295</v>
      </c>
      <c r="S30" s="1">
        <f aca="true" t="shared" si="61" ref="S30:S41">((2*(E30/2*G30*E30/4))+(F30/2*(D30-2*G30)*F30/4)+(2*0.2146*H30^2*(F30/2+0.22337*H30)))*1/1000</f>
        <v>92.49621834612799</v>
      </c>
      <c r="T30" s="8">
        <f aca="true" t="shared" si="62" ref="T30:T41">(2*E30+4*G30+2*I30-4*H30/2+2*H30*PI()+2*(E30-F30-2*H30/2))/1000</f>
        <v>1.2680973355292326</v>
      </c>
      <c r="U30" s="8">
        <f aca="true" t="shared" si="63" ref="U30:U41">$T$1*K30/10000</f>
        <v>0.5700374824485973</v>
      </c>
      <c r="V30" s="8"/>
      <c r="W30" s="1">
        <f t="shared" si="42"/>
        <v>31.88235294117647</v>
      </c>
      <c r="X30" s="4">
        <f aca="true" t="shared" si="64" ref="X30:X41">(E30/2-F30/2-H30)/G30</f>
        <v>4.351851851851852</v>
      </c>
      <c r="Y30" s="4">
        <f aca="true" t="shared" si="65" ref="Y30:Y41">(D30-G30)*F30/100</f>
        <v>27.2425</v>
      </c>
      <c r="Z30" s="2">
        <f aca="true" t="shared" si="66" ref="Z30:Z41">0.25*(D30-G30)*E30/100</f>
        <v>129.8025</v>
      </c>
      <c r="AA30" s="6">
        <f aca="true" t="shared" si="67" ref="AA30:AA41">SQRT($G$1/100*AC30/($M$1/100*AB30*10^3))</f>
        <v>0.008135541021977815</v>
      </c>
      <c r="AB30" s="1">
        <f aca="true" t="shared" si="68" ref="AB30:AB41">G30*E30^3*(D30-G30)^2/24000000000</f>
        <v>245.653885711125</v>
      </c>
      <c r="AC30" s="4">
        <f aca="true" t="shared" si="69" ref="AC30:AC41">(2/3*G30^3*(E30-0.63*G30)+F30^3/3*(D30-2*G30)+(((H30+F30/2)^2+(H30+G30)^2-H30^2)/(2*H30+G30))^4*2*F30/G30*(0.145+0.1*H30/G30))/10000</f>
        <v>42.15322363040878</v>
      </c>
      <c r="AD30" s="8"/>
      <c r="AE30" s="2">
        <f aca="true" t="shared" si="70" ref="AE30:AE41">24/$AI$1*K30</f>
        <v>1584.3543229607799</v>
      </c>
      <c r="AF30" s="2">
        <f aca="true" t="shared" si="71" ref="AF30:AF41">36/$AI$1*K30</f>
        <v>2376.53148444117</v>
      </c>
      <c r="AG30" s="1">
        <f aca="true" t="shared" si="72" ref="AG30:AG41">MAX(24/$AI$1*2*R30,1.14*24/$AI$1*M30)/100</f>
        <v>207.17343494828526</v>
      </c>
      <c r="AH30" s="1">
        <f aca="true" t="shared" si="73" ref="AH30:AH41">1.5*AG30</f>
        <v>310.7601524224279</v>
      </c>
      <c r="AI30" s="1">
        <f aca="true" t="shared" si="74" ref="AI30:AI41">24/$AI$1*2*S30/100</f>
        <v>40.3619861874013</v>
      </c>
      <c r="AJ30" s="1">
        <f aca="true" t="shared" si="75" ref="AJ30:AJ41">1.25*24/$AI$1*P30/100</f>
        <v>32.32323232323232</v>
      </c>
      <c r="AK30" s="1">
        <f t="shared" si="55"/>
        <v>60.54297928110195</v>
      </c>
      <c r="AL30" s="1">
        <f t="shared" si="27"/>
        <v>48.48484848484848</v>
      </c>
      <c r="AM30" s="1">
        <f aca="true" t="shared" si="76" ref="AM30:AM41">24/(SQRT(3)*$AI$1)*(D30-G30)*F30/100</f>
        <v>343.1665027286919</v>
      </c>
      <c r="AN30" s="1">
        <f t="shared" si="57"/>
        <v>514.7497540930378</v>
      </c>
      <c r="AO30" s="1">
        <f aca="true" t="shared" si="77" ref="AO30:AO41">24/(SQRT(3)*$AI$1)*2*E30*G30/100</f>
        <v>550.9811078040923</v>
      </c>
      <c r="AP30" s="1">
        <f t="shared" si="59"/>
        <v>826.4716617061384</v>
      </c>
      <c r="AQ30" s="1">
        <f aca="true" t="shared" si="78" ref="AQ30:AQ41">2*R30</f>
        <v>942.7864140039859</v>
      </c>
      <c r="AR30" s="1">
        <f aca="true" t="shared" si="79" ref="AR30:AR41">2*S30</f>
        <v>184.99243669225598</v>
      </c>
    </row>
    <row r="31" spans="2:44" ht="12.75" outlineLevel="1">
      <c r="B31" s="5" t="s">
        <v>116</v>
      </c>
      <c r="C31" s="3">
        <v>360</v>
      </c>
      <c r="D31" s="3">
        <v>364</v>
      </c>
      <c r="E31" s="3">
        <v>172</v>
      </c>
      <c r="F31" s="3">
        <v>9.2</v>
      </c>
      <c r="G31" s="3">
        <v>14.7</v>
      </c>
      <c r="H31" s="3">
        <v>18</v>
      </c>
      <c r="I31" s="3">
        <f t="shared" si="31"/>
        <v>298</v>
      </c>
      <c r="J31" s="3"/>
      <c r="K31" s="5">
        <f t="shared" si="33"/>
        <v>84.13243980236908</v>
      </c>
      <c r="L31" s="3">
        <v>19050</v>
      </c>
      <c r="M31" s="2">
        <f t="shared" si="34"/>
        <v>1046.7032967032967</v>
      </c>
      <c r="N31" s="1">
        <f t="shared" si="35"/>
        <v>15.04754837890604</v>
      </c>
      <c r="O31" s="3">
        <v>1250</v>
      </c>
      <c r="P31" s="1">
        <f t="shared" si="36"/>
        <v>145.34883720930233</v>
      </c>
      <c r="Q31" s="4">
        <f t="shared" si="37"/>
        <v>3.8545462830613824</v>
      </c>
      <c r="R31" s="2">
        <f t="shared" si="38"/>
        <v>593.0417439656277</v>
      </c>
      <c r="S31" s="1">
        <f t="shared" si="61"/>
        <v>113.460063876128</v>
      </c>
      <c r="T31" s="8">
        <f t="shared" si="62"/>
        <v>1.3654973355292328</v>
      </c>
      <c r="U31" s="8">
        <f t="shared" si="63"/>
        <v>0.6604396524485973</v>
      </c>
      <c r="V31" s="8"/>
      <c r="W31" s="1">
        <f t="shared" si="42"/>
        <v>32.45652173913044</v>
      </c>
      <c r="X31" s="4">
        <f t="shared" si="64"/>
        <v>4.312925170068028</v>
      </c>
      <c r="Y31" s="4">
        <f t="shared" si="65"/>
        <v>32.1356</v>
      </c>
      <c r="Z31" s="2">
        <f t="shared" si="66"/>
        <v>150.19899999999998</v>
      </c>
      <c r="AA31" s="6">
        <f t="shared" si="67"/>
        <v>0.007520458569963135</v>
      </c>
      <c r="AB31" s="1">
        <f t="shared" si="68"/>
        <v>380.26697071445597</v>
      </c>
      <c r="AC31" s="4">
        <f t="shared" si="69"/>
        <v>55.758557143274494</v>
      </c>
      <c r="AD31" s="8"/>
      <c r="AE31" s="2">
        <f t="shared" si="70"/>
        <v>1835.6168684153251</v>
      </c>
      <c r="AF31" s="2">
        <f t="shared" si="71"/>
        <v>2753.425302622988</v>
      </c>
      <c r="AG31" s="1">
        <f t="shared" si="72"/>
        <v>260.34365634365633</v>
      </c>
      <c r="AH31" s="1">
        <f t="shared" si="73"/>
        <v>390.5154845154845</v>
      </c>
      <c r="AI31" s="1">
        <f t="shared" si="74"/>
        <v>49.50984605503767</v>
      </c>
      <c r="AJ31" s="1">
        <f t="shared" si="75"/>
        <v>39.64059196617336</v>
      </c>
      <c r="AK31" s="1">
        <f t="shared" si="55"/>
        <v>74.26476908255651</v>
      </c>
      <c r="AL31" s="1">
        <f t="shared" si="27"/>
        <v>59.46088794926004</v>
      </c>
      <c r="AM31" s="1">
        <f t="shared" si="76"/>
        <v>404.8035776851666</v>
      </c>
      <c r="AN31" s="1">
        <f t="shared" si="57"/>
        <v>607.2053665277499</v>
      </c>
      <c r="AO31" s="1">
        <f t="shared" si="77"/>
        <v>636.9916017246762</v>
      </c>
      <c r="AP31" s="1">
        <f t="shared" si="59"/>
        <v>955.4874025870143</v>
      </c>
      <c r="AQ31" s="1">
        <f t="shared" si="78"/>
        <v>1186.0834879312554</v>
      </c>
      <c r="AR31" s="1">
        <f t="shared" si="79"/>
        <v>226.920127752256</v>
      </c>
    </row>
    <row r="32" spans="2:44" ht="12.75" outlineLevel="1">
      <c r="B32" s="5" t="s">
        <v>117</v>
      </c>
      <c r="C32" s="3">
        <v>400</v>
      </c>
      <c r="D32" s="3">
        <v>404</v>
      </c>
      <c r="E32" s="3">
        <v>182</v>
      </c>
      <c r="F32" s="3">
        <v>9.7</v>
      </c>
      <c r="G32" s="3">
        <v>15.5</v>
      </c>
      <c r="H32" s="3">
        <v>21</v>
      </c>
      <c r="I32" s="3">
        <f t="shared" si="31"/>
        <v>331</v>
      </c>
      <c r="J32" s="3"/>
      <c r="K32" s="5">
        <f t="shared" si="33"/>
        <v>96.38657639766902</v>
      </c>
      <c r="L32" s="3">
        <v>26750</v>
      </c>
      <c r="M32" s="2">
        <f t="shared" si="34"/>
        <v>1324.2574257425742</v>
      </c>
      <c r="N32" s="1">
        <f t="shared" si="35"/>
        <v>16.659179814346295</v>
      </c>
      <c r="O32" s="3">
        <v>1560</v>
      </c>
      <c r="P32" s="1">
        <f t="shared" si="36"/>
        <v>171.42857142857144</v>
      </c>
      <c r="Q32" s="4">
        <f t="shared" si="37"/>
        <v>4.0230369541898465</v>
      </c>
      <c r="R32" s="2">
        <f t="shared" si="38"/>
        <v>751.0857989983189</v>
      </c>
      <c r="S32" s="1">
        <f t="shared" si="61"/>
        <v>134.548296481444</v>
      </c>
      <c r="T32" s="8">
        <f t="shared" si="62"/>
        <v>1.4805468914507716</v>
      </c>
      <c r="U32" s="8">
        <f t="shared" si="63"/>
        <v>0.7566346247217017</v>
      </c>
      <c r="V32" s="8"/>
      <c r="W32" s="1">
        <f t="shared" si="42"/>
        <v>34.123711340206185</v>
      </c>
      <c r="X32" s="4">
        <f t="shared" si="64"/>
        <v>4.203225806451614</v>
      </c>
      <c r="Y32" s="4">
        <f t="shared" si="65"/>
        <v>37.6845</v>
      </c>
      <c r="Z32" s="2">
        <f t="shared" si="66"/>
        <v>176.7675</v>
      </c>
      <c r="AA32" s="6">
        <f t="shared" si="67"/>
        <v>0.006926827323741105</v>
      </c>
      <c r="AB32" s="1">
        <f t="shared" si="68"/>
        <v>587.647193917875</v>
      </c>
      <c r="AC32" s="4">
        <f t="shared" si="69"/>
        <v>73.10038518264005</v>
      </c>
      <c r="AD32" s="8"/>
      <c r="AE32" s="2">
        <f t="shared" si="70"/>
        <v>2102.979848676415</v>
      </c>
      <c r="AF32" s="2">
        <f t="shared" si="71"/>
        <v>3154.469773014622</v>
      </c>
      <c r="AG32" s="1">
        <f t="shared" si="72"/>
        <v>329.3789378937893</v>
      </c>
      <c r="AH32" s="1">
        <f t="shared" si="73"/>
        <v>494.068406840684</v>
      </c>
      <c r="AI32" s="1">
        <f t="shared" si="74"/>
        <v>58.71198391917555</v>
      </c>
      <c r="AJ32" s="1">
        <f t="shared" si="75"/>
        <v>46.75324675324675</v>
      </c>
      <c r="AK32" s="1">
        <f t="shared" si="55"/>
        <v>88.06797587876332</v>
      </c>
      <c r="AL32" s="1">
        <f t="shared" si="27"/>
        <v>70.12987012987013</v>
      </c>
      <c r="AM32" s="1">
        <f t="shared" si="76"/>
        <v>474.70159023875885</v>
      </c>
      <c r="AN32" s="1">
        <f t="shared" si="57"/>
        <v>712.0523853581383</v>
      </c>
      <c r="AO32" s="1">
        <f t="shared" si="77"/>
        <v>710.7076840948076</v>
      </c>
      <c r="AP32" s="1">
        <f t="shared" si="59"/>
        <v>1066.0615261422115</v>
      </c>
      <c r="AQ32" s="1">
        <f t="shared" si="78"/>
        <v>1502.1715979966377</v>
      </c>
      <c r="AR32" s="1">
        <f t="shared" si="79"/>
        <v>269.096592962888</v>
      </c>
    </row>
    <row r="33" spans="2:44" ht="12.75" outlineLevel="1">
      <c r="B33" s="5" t="s">
        <v>118</v>
      </c>
      <c r="C33" s="3">
        <v>450</v>
      </c>
      <c r="D33" s="3">
        <v>456</v>
      </c>
      <c r="E33" s="3">
        <v>192</v>
      </c>
      <c r="F33" s="3">
        <v>11</v>
      </c>
      <c r="G33" s="3">
        <v>17.6</v>
      </c>
      <c r="H33" s="3">
        <v>21</v>
      </c>
      <c r="I33" s="3">
        <f t="shared" si="31"/>
        <v>378</v>
      </c>
      <c r="J33" s="3"/>
      <c r="K33" s="5">
        <f t="shared" si="33"/>
        <v>117.65757639766902</v>
      </c>
      <c r="L33" s="3">
        <v>40920</v>
      </c>
      <c r="M33" s="2">
        <f t="shared" si="34"/>
        <v>1794.7368421052631</v>
      </c>
      <c r="N33" s="1">
        <f t="shared" si="35"/>
        <v>18.64909938541803</v>
      </c>
      <c r="O33" s="3">
        <v>2090</v>
      </c>
      <c r="P33" s="1">
        <f t="shared" si="36"/>
        <v>217.70833333333334</v>
      </c>
      <c r="Q33" s="4">
        <f t="shared" si="37"/>
        <v>4.214666293074767</v>
      </c>
      <c r="R33" s="2">
        <f t="shared" si="38"/>
        <v>1023.1319202935333</v>
      </c>
      <c r="S33" s="1">
        <f t="shared" si="61"/>
        <v>170.495080411444</v>
      </c>
      <c r="T33" s="8">
        <f t="shared" si="62"/>
        <v>1.6203468914507715</v>
      </c>
      <c r="U33" s="8">
        <f t="shared" si="63"/>
        <v>0.9236119747217019</v>
      </c>
      <c r="V33" s="8"/>
      <c r="W33" s="1">
        <f t="shared" si="42"/>
        <v>34.43636363636364</v>
      </c>
      <c r="X33" s="4">
        <f t="shared" si="64"/>
        <v>3.9488636363636362</v>
      </c>
      <c r="Y33" s="4">
        <f t="shared" si="65"/>
        <v>48.224</v>
      </c>
      <c r="Z33" s="2">
        <f t="shared" si="66"/>
        <v>210.43199999999996</v>
      </c>
      <c r="AA33" s="6">
        <f t="shared" si="67"/>
        <v>0.0064933738094500966</v>
      </c>
      <c r="AB33" s="1">
        <f t="shared" si="68"/>
        <v>997.576484585472</v>
      </c>
      <c r="AC33" s="4">
        <f t="shared" si="69"/>
        <v>109.04889996869814</v>
      </c>
      <c r="AD33" s="8"/>
      <c r="AE33" s="2">
        <f t="shared" si="70"/>
        <v>2567.07439413096</v>
      </c>
      <c r="AF33" s="2">
        <f t="shared" si="71"/>
        <v>3850.6115911964407</v>
      </c>
      <c r="AG33" s="1">
        <f t="shared" si="72"/>
        <v>446.4575652189963</v>
      </c>
      <c r="AH33" s="1">
        <f t="shared" si="73"/>
        <v>669.6863478284945</v>
      </c>
      <c r="AI33" s="1">
        <f t="shared" si="74"/>
        <v>74.39785327044828</v>
      </c>
      <c r="AJ33" s="1">
        <f t="shared" si="75"/>
        <v>59.375</v>
      </c>
      <c r="AK33" s="1">
        <f t="shared" si="55"/>
        <v>111.59677990567242</v>
      </c>
      <c r="AL33" s="1">
        <f t="shared" si="27"/>
        <v>89.0625</v>
      </c>
      <c r="AM33" s="1">
        <f t="shared" si="76"/>
        <v>607.4648592305565</v>
      </c>
      <c r="AN33" s="1">
        <f t="shared" si="57"/>
        <v>911.1972888458347</v>
      </c>
      <c r="AO33" s="1">
        <f t="shared" si="77"/>
        <v>851.3376129362546</v>
      </c>
      <c r="AP33" s="1">
        <f t="shared" si="59"/>
        <v>1277.0064194043819</v>
      </c>
      <c r="AQ33" s="1">
        <f t="shared" si="78"/>
        <v>2046.2638405870666</v>
      </c>
      <c r="AR33" s="1">
        <f t="shared" si="79"/>
        <v>340.990160822888</v>
      </c>
    </row>
    <row r="34" spans="2:44" ht="12.75" outlineLevel="1">
      <c r="B34" s="5" t="s">
        <v>119</v>
      </c>
      <c r="C34" s="3">
        <v>500</v>
      </c>
      <c r="D34" s="3">
        <v>506</v>
      </c>
      <c r="E34" s="3">
        <v>202</v>
      </c>
      <c r="F34" s="3">
        <v>12</v>
      </c>
      <c r="G34" s="3">
        <v>19</v>
      </c>
      <c r="H34" s="3">
        <v>21</v>
      </c>
      <c r="I34" s="3">
        <f t="shared" si="31"/>
        <v>426</v>
      </c>
      <c r="J34" s="3"/>
      <c r="K34" s="5">
        <f t="shared" si="33"/>
        <v>136.705576397669</v>
      </c>
      <c r="L34" s="3">
        <v>57780</v>
      </c>
      <c r="M34" s="2">
        <f t="shared" si="34"/>
        <v>2283.794466403162</v>
      </c>
      <c r="N34" s="1">
        <f t="shared" si="35"/>
        <v>20.55870020692588</v>
      </c>
      <c r="O34" s="3">
        <v>2620</v>
      </c>
      <c r="P34" s="1">
        <f t="shared" si="36"/>
        <v>259.4059405940594</v>
      </c>
      <c r="Q34" s="4">
        <f t="shared" si="37"/>
        <v>4.377816265096327</v>
      </c>
      <c r="R34" s="2">
        <f t="shared" si="38"/>
        <v>1306.4923804427829</v>
      </c>
      <c r="S34" s="1">
        <f t="shared" si="61"/>
        <v>204.26651901144402</v>
      </c>
      <c r="T34" s="8">
        <f t="shared" si="62"/>
        <v>1.7599468914507712</v>
      </c>
      <c r="U34" s="8">
        <f t="shared" si="63"/>
        <v>1.0731387747217016</v>
      </c>
      <c r="V34" s="8"/>
      <c r="W34" s="1">
        <f t="shared" si="42"/>
        <v>35.5</v>
      </c>
      <c r="X34" s="4">
        <f t="shared" si="64"/>
        <v>3.8947368421052633</v>
      </c>
      <c r="Y34" s="4">
        <f t="shared" si="65"/>
        <v>58.44</v>
      </c>
      <c r="Z34" s="2">
        <f t="shared" si="66"/>
        <v>245.935</v>
      </c>
      <c r="AA34" s="6">
        <f t="shared" si="67"/>
        <v>0.005979814101893522</v>
      </c>
      <c r="AB34" s="1">
        <f t="shared" si="68"/>
        <v>1547.5845665036666</v>
      </c>
      <c r="AC34" s="4">
        <f t="shared" si="69"/>
        <v>143.4709691248156</v>
      </c>
      <c r="AD34" s="8"/>
      <c r="AE34" s="2">
        <f t="shared" si="70"/>
        <v>2982.6671214036874</v>
      </c>
      <c r="AF34" s="2">
        <f t="shared" si="71"/>
        <v>4474.000682105531</v>
      </c>
      <c r="AG34" s="1">
        <f t="shared" si="72"/>
        <v>570.1057660113961</v>
      </c>
      <c r="AH34" s="1">
        <f t="shared" si="73"/>
        <v>855.1586490170941</v>
      </c>
      <c r="AI34" s="1">
        <f t="shared" si="74"/>
        <v>89.13448102317555</v>
      </c>
      <c r="AJ34" s="1">
        <f t="shared" si="75"/>
        <v>70.74707470747074</v>
      </c>
      <c r="AK34" s="1">
        <f t="shared" si="55"/>
        <v>133.70172153476332</v>
      </c>
      <c r="AL34" s="1">
        <f t="shared" si="27"/>
        <v>106.12061206120612</v>
      </c>
      <c r="AM34" s="1">
        <f t="shared" si="76"/>
        <v>736.1530850496376</v>
      </c>
      <c r="AN34" s="1">
        <f t="shared" si="57"/>
        <v>1104.2296275744566</v>
      </c>
      <c r="AO34" s="1">
        <f t="shared" si="77"/>
        <v>966.9252362835421</v>
      </c>
      <c r="AP34" s="1">
        <f t="shared" si="59"/>
        <v>1450.387854425313</v>
      </c>
      <c r="AQ34" s="1">
        <f t="shared" si="78"/>
        <v>2612.9847608855657</v>
      </c>
      <c r="AR34" s="1">
        <f t="shared" si="79"/>
        <v>408.53303802288804</v>
      </c>
    </row>
    <row r="35" spans="2:44" ht="12.75" outlineLevel="1">
      <c r="B35" s="5" t="s">
        <v>120</v>
      </c>
      <c r="C35" s="3">
        <v>550</v>
      </c>
      <c r="D35" s="3">
        <v>556</v>
      </c>
      <c r="E35" s="3">
        <v>212</v>
      </c>
      <c r="F35" s="3">
        <v>12.7</v>
      </c>
      <c r="G35" s="3">
        <v>20.2</v>
      </c>
      <c r="H35" s="3">
        <v>24</v>
      </c>
      <c r="I35" s="3">
        <f t="shared" si="31"/>
        <v>467</v>
      </c>
      <c r="J35" s="3"/>
      <c r="K35" s="5">
        <f t="shared" si="33"/>
        <v>156.07362631532277</v>
      </c>
      <c r="L35" s="3">
        <v>79160</v>
      </c>
      <c r="M35" s="2">
        <f t="shared" si="34"/>
        <v>2847.482014388489</v>
      </c>
      <c r="N35" s="1">
        <f t="shared" si="35"/>
        <v>22.521023936784392</v>
      </c>
      <c r="O35" s="3">
        <v>3220</v>
      </c>
      <c r="P35" s="1">
        <f t="shared" si="36"/>
        <v>303.7735849056604</v>
      </c>
      <c r="Q35" s="4">
        <f t="shared" si="37"/>
        <v>4.542167811155623</v>
      </c>
      <c r="R35" s="2">
        <f t="shared" si="38"/>
        <v>1631.6896253972461</v>
      </c>
      <c r="S35" s="1">
        <f t="shared" si="61"/>
        <v>240.257494884896</v>
      </c>
      <c r="T35" s="8">
        <f t="shared" si="62"/>
        <v>1.89219644737231</v>
      </c>
      <c r="U35" s="8">
        <f t="shared" si="63"/>
        <v>1.2251779665752838</v>
      </c>
      <c r="V35" s="8"/>
      <c r="W35" s="1">
        <f t="shared" si="42"/>
        <v>36.81889763779528</v>
      </c>
      <c r="X35" s="4">
        <f t="shared" si="64"/>
        <v>3.7450495049504955</v>
      </c>
      <c r="Y35" s="4">
        <f t="shared" si="65"/>
        <v>68.04659999999998</v>
      </c>
      <c r="Z35" s="2">
        <f t="shared" si="66"/>
        <v>283.974</v>
      </c>
      <c r="AA35" s="6">
        <f t="shared" si="67"/>
        <v>0.005605082531596897</v>
      </c>
      <c r="AB35" s="1">
        <f t="shared" si="68"/>
        <v>2302.2534320780155</v>
      </c>
      <c r="AC35" s="4">
        <f t="shared" si="69"/>
        <v>187.52165545859336</v>
      </c>
      <c r="AD35" s="8"/>
      <c r="AE35" s="2">
        <f t="shared" si="70"/>
        <v>3405.2427559706784</v>
      </c>
      <c r="AF35" s="2">
        <f t="shared" si="71"/>
        <v>5107.864133956018</v>
      </c>
      <c r="AG35" s="1">
        <f t="shared" si="72"/>
        <v>712.0100183551618</v>
      </c>
      <c r="AH35" s="1">
        <f t="shared" si="73"/>
        <v>1068.0150275327428</v>
      </c>
      <c r="AI35" s="1">
        <f t="shared" si="74"/>
        <v>104.83963413159097</v>
      </c>
      <c r="AJ35" s="1">
        <f t="shared" si="75"/>
        <v>82.84734133790738</v>
      </c>
      <c r="AK35" s="1">
        <f t="shared" si="55"/>
        <v>157.25945119738645</v>
      </c>
      <c r="AL35" s="1">
        <f t="shared" si="27"/>
        <v>124.27101200686107</v>
      </c>
      <c r="AM35" s="1">
        <f t="shared" si="76"/>
        <v>857.1648616895734</v>
      </c>
      <c r="AN35" s="1">
        <f t="shared" si="57"/>
        <v>1285.74729253436</v>
      </c>
      <c r="AO35" s="1">
        <f t="shared" si="77"/>
        <v>1078.885000484794</v>
      </c>
      <c r="AP35" s="1">
        <f t="shared" si="59"/>
        <v>1618.3275007271911</v>
      </c>
      <c r="AQ35" s="1">
        <f t="shared" si="78"/>
        <v>3263.3792507944922</v>
      </c>
      <c r="AR35" s="1">
        <f t="shared" si="79"/>
        <v>480.514989769792</v>
      </c>
    </row>
    <row r="36" spans="1:44" ht="12.75" outlineLevel="1">
      <c r="A36" s="18" t="s">
        <v>162</v>
      </c>
      <c r="B36" s="5" t="s">
        <v>121</v>
      </c>
      <c r="C36" s="3">
        <v>600</v>
      </c>
      <c r="D36" s="3">
        <v>610</v>
      </c>
      <c r="E36" s="3">
        <v>224</v>
      </c>
      <c r="F36" s="3">
        <v>15</v>
      </c>
      <c r="G36" s="3">
        <v>24</v>
      </c>
      <c r="H36" s="3">
        <v>24</v>
      </c>
      <c r="I36" s="3">
        <f t="shared" si="31"/>
        <v>514</v>
      </c>
      <c r="J36" s="3"/>
      <c r="K36" s="5">
        <f t="shared" si="33"/>
        <v>196.7644263153228</v>
      </c>
      <c r="L36" s="3">
        <v>118300</v>
      </c>
      <c r="M36" s="2">
        <f t="shared" si="34"/>
        <v>3878.688524590164</v>
      </c>
      <c r="N36" s="1">
        <f t="shared" si="35"/>
        <v>24.51992178309437</v>
      </c>
      <c r="O36" s="3">
        <v>4520</v>
      </c>
      <c r="P36" s="1">
        <f t="shared" si="36"/>
        <v>403.5714285714286</v>
      </c>
      <c r="Q36" s="4">
        <f t="shared" si="37"/>
        <v>4.792873046579019</v>
      </c>
      <c r="R36" s="2">
        <f t="shared" si="38"/>
        <v>2235.519365923021</v>
      </c>
      <c r="S36" s="1">
        <f t="shared" si="61"/>
        <v>320.041706464896</v>
      </c>
      <c r="T36" s="8">
        <f t="shared" si="62"/>
        <v>2.04479644737231</v>
      </c>
      <c r="U36" s="8">
        <f t="shared" si="63"/>
        <v>1.5446007465752838</v>
      </c>
      <c r="V36" s="8"/>
      <c r="W36" s="1">
        <f t="shared" si="42"/>
        <v>34.266666666666666</v>
      </c>
      <c r="X36" s="4">
        <f t="shared" si="64"/>
        <v>3.3541666666666665</v>
      </c>
      <c r="Y36" s="4">
        <f t="shared" si="65"/>
        <v>87.9</v>
      </c>
      <c r="Z36" s="2">
        <f t="shared" si="66"/>
        <v>328.16</v>
      </c>
      <c r="AA36" s="6">
        <f t="shared" si="67"/>
        <v>0.005638510631191108</v>
      </c>
      <c r="AB36" s="1">
        <f t="shared" si="68"/>
        <v>3859.573243904</v>
      </c>
      <c r="AC36" s="4">
        <f t="shared" si="69"/>
        <v>318.1283479131113</v>
      </c>
      <c r="AD36" s="8"/>
      <c r="AE36" s="2">
        <f t="shared" si="70"/>
        <v>4293.0420286979515</v>
      </c>
      <c r="AF36" s="2">
        <f t="shared" si="71"/>
        <v>6439.563043046927</v>
      </c>
      <c r="AG36" s="1">
        <f t="shared" si="72"/>
        <v>975.4993596754998</v>
      </c>
      <c r="AH36" s="1">
        <f t="shared" si="73"/>
        <v>1463.2490395132497</v>
      </c>
      <c r="AI36" s="1">
        <f t="shared" si="74"/>
        <v>139.65456282104552</v>
      </c>
      <c r="AJ36" s="1">
        <f t="shared" si="75"/>
        <v>110.06493506493507</v>
      </c>
      <c r="AK36" s="1">
        <f t="shared" si="55"/>
        <v>209.4818442315683</v>
      </c>
      <c r="AL36" s="1">
        <f t="shared" si="27"/>
        <v>165.0974025974026</v>
      </c>
      <c r="AM36" s="1">
        <f t="shared" si="76"/>
        <v>1107.2528435294857</v>
      </c>
      <c r="AN36" s="1">
        <f t="shared" si="57"/>
        <v>1660.8792652942286</v>
      </c>
      <c r="AO36" s="1">
        <f t="shared" si="77"/>
        <v>1354.400747853132</v>
      </c>
      <c r="AP36" s="1">
        <f t="shared" si="59"/>
        <v>2031.6011217796981</v>
      </c>
      <c r="AQ36" s="1">
        <f t="shared" si="78"/>
        <v>4471.038731846042</v>
      </c>
      <c r="AR36" s="1">
        <f t="shared" si="79"/>
        <v>640.083412929792</v>
      </c>
    </row>
    <row r="37" spans="1:44" ht="12.75">
      <c r="A37" s="18" t="s">
        <v>163</v>
      </c>
      <c r="B37" s="17" t="s">
        <v>128</v>
      </c>
      <c r="C37" s="3">
        <v>400</v>
      </c>
      <c r="D37" s="3">
        <v>408</v>
      </c>
      <c r="E37" s="3">
        <v>182</v>
      </c>
      <c r="F37" s="3">
        <v>10.6</v>
      </c>
      <c r="G37" s="3">
        <v>17.5</v>
      </c>
      <c r="H37" s="3">
        <v>21</v>
      </c>
      <c r="I37" s="3">
        <f t="shared" si="31"/>
        <v>331</v>
      </c>
      <c r="J37" s="3"/>
      <c r="K37" s="3">
        <f t="shared" si="33"/>
        <v>107.023576397669</v>
      </c>
      <c r="L37" s="3">
        <v>30140</v>
      </c>
      <c r="M37" s="2">
        <f t="shared" si="34"/>
        <v>1477.450980392157</v>
      </c>
      <c r="N37" s="1">
        <f t="shared" si="35"/>
        <v>16.781543157627663</v>
      </c>
      <c r="O37" s="3">
        <v>1770</v>
      </c>
      <c r="P37" s="1">
        <f t="shared" si="36"/>
        <v>194.5054945054945</v>
      </c>
      <c r="Q37" s="4">
        <f t="shared" si="37"/>
        <v>4.066744643856514</v>
      </c>
      <c r="R37" s="2">
        <f t="shared" si="38"/>
        <v>840.6298114983189</v>
      </c>
      <c r="S37" s="1">
        <f t="shared" si="61"/>
        <v>152.047309971444</v>
      </c>
      <c r="T37" s="8">
        <f t="shared" si="62"/>
        <v>1.4867468914507713</v>
      </c>
      <c r="U37" s="8">
        <f t="shared" si="63"/>
        <v>0.8401350747217017</v>
      </c>
      <c r="V37" s="8"/>
      <c r="W37" s="1">
        <f t="shared" si="42"/>
        <v>31.226415094339625</v>
      </c>
      <c r="X37" s="4">
        <f t="shared" si="64"/>
        <v>3.6971428571428575</v>
      </c>
      <c r="Y37" s="4">
        <f t="shared" si="65"/>
        <v>41.393</v>
      </c>
      <c r="Z37" s="2">
        <f t="shared" si="66"/>
        <v>177.6775</v>
      </c>
      <c r="AA37" s="6">
        <f t="shared" si="67"/>
        <v>0.007547453614282679</v>
      </c>
      <c r="AB37" s="1">
        <f t="shared" si="68"/>
        <v>670.3213427327083</v>
      </c>
      <c r="AC37" s="4">
        <f t="shared" si="69"/>
        <v>98.9961325252978</v>
      </c>
      <c r="AD37" s="8"/>
      <c r="AE37" s="2">
        <f t="shared" si="70"/>
        <v>2335.0598486764143</v>
      </c>
      <c r="AF37" s="2">
        <f t="shared" si="71"/>
        <v>3502.589773014622</v>
      </c>
      <c r="AG37" s="1">
        <f t="shared" si="72"/>
        <v>367.48235294117643</v>
      </c>
      <c r="AH37" s="1">
        <f t="shared" si="73"/>
        <v>551.2235294117646</v>
      </c>
      <c r="AI37" s="1">
        <f t="shared" si="74"/>
        <v>66.34791707844829</v>
      </c>
      <c r="AJ37" s="1">
        <f t="shared" si="75"/>
        <v>53.04695304695304</v>
      </c>
      <c r="AK37" s="1">
        <f t="shared" si="55"/>
        <v>99.52187561767244</v>
      </c>
      <c r="AL37" s="1">
        <f t="shared" si="27"/>
        <v>79.57042957042957</v>
      </c>
      <c r="AM37" s="1">
        <f t="shared" si="76"/>
        <v>521.4165751105347</v>
      </c>
      <c r="AN37" s="1">
        <f t="shared" si="57"/>
        <v>782.1248626658021</v>
      </c>
      <c r="AO37" s="1">
        <f t="shared" si="77"/>
        <v>802.4119013973635</v>
      </c>
      <c r="AP37" s="1">
        <f t="shared" si="59"/>
        <v>1203.6178520960452</v>
      </c>
      <c r="AQ37" s="1">
        <f t="shared" si="78"/>
        <v>1681.2596229966377</v>
      </c>
      <c r="AR37" s="1">
        <f t="shared" si="79"/>
        <v>304.094619942888</v>
      </c>
    </row>
    <row r="38" spans="2:44" ht="12.75" outlineLevel="1">
      <c r="B38" s="5" t="s">
        <v>124</v>
      </c>
      <c r="C38" s="3">
        <v>450</v>
      </c>
      <c r="D38" s="3">
        <v>460</v>
      </c>
      <c r="E38" s="3">
        <v>194</v>
      </c>
      <c r="F38" s="3">
        <v>12.4</v>
      </c>
      <c r="G38" s="3">
        <v>19.6</v>
      </c>
      <c r="H38" s="3">
        <v>21</v>
      </c>
      <c r="I38" s="3">
        <f t="shared" si="31"/>
        <v>378</v>
      </c>
      <c r="J38" s="3"/>
      <c r="K38" s="3">
        <f t="shared" si="33"/>
        <v>132.01277639766903</v>
      </c>
      <c r="L38" s="3">
        <v>46200</v>
      </c>
      <c r="M38" s="2">
        <f t="shared" si="34"/>
        <v>2008.695652173913</v>
      </c>
      <c r="N38" s="1">
        <f t="shared" si="35"/>
        <v>18.707381603705215</v>
      </c>
      <c r="O38" s="3">
        <v>2400</v>
      </c>
      <c r="P38" s="1">
        <f t="shared" si="36"/>
        <v>247.42268041237116</v>
      </c>
      <c r="Q38" s="4">
        <f t="shared" si="37"/>
        <v>4.263807983217345</v>
      </c>
      <c r="R38" s="2">
        <f t="shared" si="38"/>
        <v>1150.6874722935331</v>
      </c>
      <c r="S38" s="1">
        <f t="shared" si="61"/>
        <v>194.56555045144398</v>
      </c>
      <c r="T38" s="8">
        <f t="shared" si="62"/>
        <v>1.6335468914507714</v>
      </c>
      <c r="U38" s="8">
        <f t="shared" si="63"/>
        <v>1.036300294721702</v>
      </c>
      <c r="V38" s="8"/>
      <c r="W38" s="1">
        <f t="shared" si="42"/>
        <v>30.548387096774192</v>
      </c>
      <c r="X38" s="4">
        <f t="shared" si="64"/>
        <v>3.5612244897959178</v>
      </c>
      <c r="Y38" s="4">
        <f t="shared" si="65"/>
        <v>54.6096</v>
      </c>
      <c r="Z38" s="2">
        <f t="shared" si="66"/>
        <v>213.59399999999997</v>
      </c>
      <c r="AA38" s="6">
        <f t="shared" si="67"/>
        <v>0.007067877980127351</v>
      </c>
      <c r="AB38" s="1">
        <f t="shared" si="68"/>
        <v>1156.497344861376</v>
      </c>
      <c r="AC38" s="4">
        <f t="shared" si="69"/>
        <v>149.78109538649463</v>
      </c>
      <c r="AD38" s="8"/>
      <c r="AE38" s="2">
        <f t="shared" si="70"/>
        <v>2880.278757767324</v>
      </c>
      <c r="AF38" s="2">
        <f t="shared" si="71"/>
        <v>4320.4181366509865</v>
      </c>
      <c r="AG38" s="1">
        <f t="shared" si="72"/>
        <v>502.11816972808714</v>
      </c>
      <c r="AH38" s="1">
        <f t="shared" si="73"/>
        <v>753.1772545921307</v>
      </c>
      <c r="AI38" s="1">
        <f t="shared" si="74"/>
        <v>84.90133110608464</v>
      </c>
      <c r="AJ38" s="1">
        <f t="shared" si="75"/>
        <v>67.47891283973759</v>
      </c>
      <c r="AK38" s="1">
        <f t="shared" si="55"/>
        <v>127.35199665912697</v>
      </c>
      <c r="AL38" s="1">
        <f t="shared" si="27"/>
        <v>101.21836925960639</v>
      </c>
      <c r="AM38" s="1">
        <f t="shared" si="76"/>
        <v>687.9025584073698</v>
      </c>
      <c r="AN38" s="1">
        <f t="shared" si="57"/>
        <v>1031.8538376110548</v>
      </c>
      <c r="AO38" s="1">
        <f t="shared" si="77"/>
        <v>957.9563622836216</v>
      </c>
      <c r="AP38" s="1">
        <f t="shared" si="59"/>
        <v>1436.9345434254324</v>
      </c>
      <c r="AQ38" s="1">
        <f t="shared" si="78"/>
        <v>2301.3749445870662</v>
      </c>
      <c r="AR38" s="1">
        <f t="shared" si="79"/>
        <v>389.13110090288797</v>
      </c>
    </row>
    <row r="39" spans="2:44" ht="12.75" outlineLevel="1">
      <c r="B39" s="5" t="s">
        <v>125</v>
      </c>
      <c r="C39" s="3">
        <v>500</v>
      </c>
      <c r="D39" s="3">
        <v>514</v>
      </c>
      <c r="E39" s="3">
        <v>204</v>
      </c>
      <c r="F39" s="3">
        <v>14.2</v>
      </c>
      <c r="G39" s="3">
        <v>23</v>
      </c>
      <c r="H39" s="3">
        <v>21</v>
      </c>
      <c r="I39" s="3">
        <f t="shared" si="31"/>
        <v>426</v>
      </c>
      <c r="J39" s="3"/>
      <c r="K39" s="3">
        <f t="shared" si="33"/>
        <v>164.081576397669</v>
      </c>
      <c r="L39" s="3">
        <v>70720</v>
      </c>
      <c r="M39" s="2">
        <f t="shared" si="34"/>
        <v>2751.750972762646</v>
      </c>
      <c r="N39" s="1">
        <f t="shared" si="35"/>
        <v>20.760662872232576</v>
      </c>
      <c r="O39" s="3">
        <v>3270</v>
      </c>
      <c r="P39" s="1">
        <f t="shared" si="36"/>
        <v>320.5882352941177</v>
      </c>
      <c r="Q39" s="4">
        <f t="shared" si="37"/>
        <v>4.464203323137096</v>
      </c>
      <c r="R39" s="2">
        <f t="shared" si="38"/>
        <v>1584.0569804427828</v>
      </c>
      <c r="S39" s="1">
        <f t="shared" si="61"/>
        <v>253.31966393144398</v>
      </c>
      <c r="T39" s="8">
        <f t="shared" si="62"/>
        <v>1.7795468914507715</v>
      </c>
      <c r="U39" s="8">
        <f t="shared" si="63"/>
        <v>1.2880403747217017</v>
      </c>
      <c r="V39" s="8"/>
      <c r="W39" s="1">
        <f t="shared" si="42"/>
        <v>30</v>
      </c>
      <c r="X39" s="4">
        <f t="shared" si="64"/>
        <v>3.21304347826087</v>
      </c>
      <c r="Y39" s="4">
        <f t="shared" si="65"/>
        <v>69.722</v>
      </c>
      <c r="Z39" s="2">
        <f t="shared" si="66"/>
        <v>250.41</v>
      </c>
      <c r="AA39" s="6">
        <f t="shared" si="67"/>
        <v>0.00691155141732942</v>
      </c>
      <c r="AB39" s="1">
        <f t="shared" si="68"/>
        <v>1961.417658168</v>
      </c>
      <c r="AC39" s="4">
        <f t="shared" si="69"/>
        <v>242.9156207639485</v>
      </c>
      <c r="AD39" s="8"/>
      <c r="AE39" s="2">
        <f t="shared" si="70"/>
        <v>3579.9616668582325</v>
      </c>
      <c r="AF39" s="2">
        <f t="shared" si="71"/>
        <v>5369.9425002873495</v>
      </c>
      <c r="AG39" s="1">
        <f t="shared" si="72"/>
        <v>691.2248641932143</v>
      </c>
      <c r="AH39" s="1">
        <f t="shared" si="73"/>
        <v>1036.8372962898216</v>
      </c>
      <c r="AI39" s="1">
        <f t="shared" si="74"/>
        <v>110.53948971553919</v>
      </c>
      <c r="AJ39" s="1">
        <f t="shared" si="75"/>
        <v>87.43315508021391</v>
      </c>
      <c r="AK39" s="1">
        <f t="shared" si="55"/>
        <v>165.8092345733088</v>
      </c>
      <c r="AL39" s="1">
        <f t="shared" si="27"/>
        <v>131.14973262032086</v>
      </c>
      <c r="AM39" s="1">
        <f t="shared" si="76"/>
        <v>878.2694284023072</v>
      </c>
      <c r="AN39" s="1">
        <f t="shared" si="57"/>
        <v>1317.4041426034607</v>
      </c>
      <c r="AO39" s="1">
        <f t="shared" si="77"/>
        <v>1182.0774384164613</v>
      </c>
      <c r="AP39" s="1">
        <f t="shared" si="59"/>
        <v>1773.1161576246918</v>
      </c>
      <c r="AQ39" s="1">
        <f t="shared" si="78"/>
        <v>3168.1139608855656</v>
      </c>
      <c r="AR39" s="1">
        <f t="shared" si="79"/>
        <v>506.63932786288797</v>
      </c>
    </row>
    <row r="40" spans="2:44" ht="12.75" outlineLevel="1">
      <c r="B40" s="5" t="s">
        <v>126</v>
      </c>
      <c r="C40" s="3">
        <v>550</v>
      </c>
      <c r="D40" s="3">
        <v>566</v>
      </c>
      <c r="E40" s="3">
        <v>216</v>
      </c>
      <c r="F40" s="3">
        <v>17.1</v>
      </c>
      <c r="G40" s="3">
        <v>25.2</v>
      </c>
      <c r="H40" s="3">
        <v>24</v>
      </c>
      <c r="I40" s="3">
        <f t="shared" si="31"/>
        <v>467</v>
      </c>
      <c r="J40" s="3"/>
      <c r="K40" s="3">
        <f t="shared" si="33"/>
        <v>201.97602631532277</v>
      </c>
      <c r="L40" s="3">
        <v>102300</v>
      </c>
      <c r="M40" s="2">
        <f t="shared" si="34"/>
        <v>3614.840989399293</v>
      </c>
      <c r="N40" s="1">
        <f t="shared" si="35"/>
        <v>22.50546056615354</v>
      </c>
      <c r="O40" s="3">
        <v>4260</v>
      </c>
      <c r="P40" s="1">
        <f t="shared" si="36"/>
        <v>394.4444444444444</v>
      </c>
      <c r="Q40" s="4">
        <f t="shared" si="37"/>
        <v>4.592560516456547</v>
      </c>
      <c r="R40" s="2">
        <f t="shared" si="38"/>
        <v>2102.4897933972466</v>
      </c>
      <c r="S40" s="1">
        <f t="shared" si="61"/>
        <v>316.217661124896</v>
      </c>
      <c r="T40" s="8">
        <f t="shared" si="62"/>
        <v>1.91939644737231</v>
      </c>
      <c r="U40" s="8">
        <f t="shared" si="63"/>
        <v>1.5855118065752836</v>
      </c>
      <c r="V40" s="8"/>
      <c r="W40" s="1">
        <f t="shared" si="42"/>
        <v>27.34502923976608</v>
      </c>
      <c r="X40" s="4">
        <f t="shared" si="64"/>
        <v>2.994047619047619</v>
      </c>
      <c r="Y40" s="4">
        <f t="shared" si="65"/>
        <v>92.4768</v>
      </c>
      <c r="Z40" s="2">
        <f t="shared" si="66"/>
        <v>292.032</v>
      </c>
      <c r="AA40" s="6">
        <f t="shared" si="67"/>
        <v>0.006883969826949187</v>
      </c>
      <c r="AB40" s="1">
        <f t="shared" si="68"/>
        <v>3094.7382193029116</v>
      </c>
      <c r="AC40" s="4">
        <f t="shared" si="69"/>
        <v>380.2210093990168</v>
      </c>
      <c r="AD40" s="8"/>
      <c r="AE40" s="2">
        <f t="shared" si="70"/>
        <v>4406.749665061588</v>
      </c>
      <c r="AF40" s="2">
        <f t="shared" si="71"/>
        <v>6610.124497592381</v>
      </c>
      <c r="AG40" s="1">
        <f t="shared" si="72"/>
        <v>917.450091664253</v>
      </c>
      <c r="AH40" s="1">
        <f t="shared" si="73"/>
        <v>1376.1751374963796</v>
      </c>
      <c r="AI40" s="1">
        <f t="shared" si="74"/>
        <v>137.9858884908637</v>
      </c>
      <c r="AJ40" s="1">
        <f t="shared" si="75"/>
        <v>107.57575757575755</v>
      </c>
      <c r="AK40" s="1">
        <f t="shared" si="55"/>
        <v>206.97883273629554</v>
      </c>
      <c r="AL40" s="1">
        <f t="shared" si="27"/>
        <v>161.36363636363632</v>
      </c>
      <c r="AM40" s="1">
        <f t="shared" si="76"/>
        <v>1164.905571791895</v>
      </c>
      <c r="AN40" s="1">
        <f t="shared" si="57"/>
        <v>1747.3583576878425</v>
      </c>
      <c r="AO40" s="1">
        <f t="shared" si="77"/>
        <v>1371.3307572012966</v>
      </c>
      <c r="AP40" s="1">
        <f t="shared" si="59"/>
        <v>2056.996135801945</v>
      </c>
      <c r="AQ40" s="1">
        <f t="shared" si="78"/>
        <v>4204.979586794493</v>
      </c>
      <c r="AR40" s="1">
        <f t="shared" si="79"/>
        <v>632.435322249792</v>
      </c>
    </row>
    <row r="41" spans="1:44" ht="12.75" outlineLevel="1">
      <c r="A41" s="18" t="s">
        <v>164</v>
      </c>
      <c r="B41" s="5" t="s">
        <v>127</v>
      </c>
      <c r="C41" s="3">
        <v>600</v>
      </c>
      <c r="D41" s="3">
        <v>618</v>
      </c>
      <c r="E41" s="3">
        <v>228</v>
      </c>
      <c r="F41" s="3">
        <v>18</v>
      </c>
      <c r="G41" s="3">
        <v>28</v>
      </c>
      <c r="H41" s="3">
        <v>24</v>
      </c>
      <c r="I41" s="3">
        <f t="shared" si="31"/>
        <v>514</v>
      </c>
      <c r="J41" s="3"/>
      <c r="K41" s="3">
        <f t="shared" si="33"/>
        <v>233.78442631532278</v>
      </c>
      <c r="L41" s="3">
        <v>141600</v>
      </c>
      <c r="M41" s="2">
        <f t="shared" si="34"/>
        <v>4582.524271844661</v>
      </c>
      <c r="N41" s="1">
        <f t="shared" si="35"/>
        <v>24.610692729040508</v>
      </c>
      <c r="O41" s="3">
        <v>5570</v>
      </c>
      <c r="P41" s="1">
        <f t="shared" si="36"/>
        <v>488.59649122807014</v>
      </c>
      <c r="Q41" s="4">
        <f t="shared" si="37"/>
        <v>4.88112364567329</v>
      </c>
      <c r="R41" s="2">
        <f t="shared" si="38"/>
        <v>2662.072865923021</v>
      </c>
      <c r="S41" s="1">
        <f t="shared" si="61"/>
        <v>390.199285264896</v>
      </c>
      <c r="T41" s="8">
        <f t="shared" si="62"/>
        <v>2.07079644737231</v>
      </c>
      <c r="U41" s="8">
        <f t="shared" si="63"/>
        <v>1.8352077465752838</v>
      </c>
      <c r="V41" s="8"/>
      <c r="W41" s="1">
        <f t="shared" si="42"/>
        <v>28.555555555555557</v>
      </c>
      <c r="X41" s="4">
        <f t="shared" si="64"/>
        <v>2.892857142857143</v>
      </c>
      <c r="Y41" s="4">
        <f t="shared" si="65"/>
        <v>106.2</v>
      </c>
      <c r="Z41" s="2">
        <f t="shared" si="66"/>
        <v>336.3</v>
      </c>
      <c r="AA41" s="6">
        <f t="shared" si="67"/>
        <v>0.00640741509210726</v>
      </c>
      <c r="AB41" s="1">
        <f t="shared" si="68"/>
        <v>4813.4376864</v>
      </c>
      <c r="AC41" s="4">
        <f t="shared" si="69"/>
        <v>512.3365617679481</v>
      </c>
      <c r="AD41" s="8"/>
      <c r="AE41" s="2">
        <f t="shared" si="70"/>
        <v>5100.751119607042</v>
      </c>
      <c r="AF41" s="2">
        <f t="shared" si="71"/>
        <v>7651.126679410563</v>
      </c>
      <c r="AG41" s="1">
        <f t="shared" si="72"/>
        <v>1161.6317960391361</v>
      </c>
      <c r="AH41" s="1">
        <f t="shared" si="73"/>
        <v>1742.4476940587042</v>
      </c>
      <c r="AI41" s="1">
        <f t="shared" si="74"/>
        <v>170.26877902468186</v>
      </c>
      <c r="AJ41" s="1">
        <f t="shared" si="75"/>
        <v>133.2535885167464</v>
      </c>
      <c r="AK41" s="1">
        <f t="shared" si="55"/>
        <v>255.4031685370228</v>
      </c>
      <c r="AL41" s="1">
        <f t="shared" si="27"/>
        <v>199.88038277511959</v>
      </c>
      <c r="AM41" s="1">
        <f t="shared" si="76"/>
        <v>1337.773060100471</v>
      </c>
      <c r="AN41" s="1">
        <f t="shared" si="57"/>
        <v>2006.6595901507064</v>
      </c>
      <c r="AO41" s="1">
        <f t="shared" si="77"/>
        <v>1608.3508880755946</v>
      </c>
      <c r="AP41" s="1">
        <f t="shared" si="59"/>
        <v>2412.526332113392</v>
      </c>
      <c r="AQ41" s="1">
        <f t="shared" si="78"/>
        <v>5324.145731846042</v>
      </c>
      <c r="AR41" s="1">
        <f t="shared" si="79"/>
        <v>780.398570529792</v>
      </c>
    </row>
    <row r="42" spans="1:44" ht="12.75">
      <c r="A42" s="18" t="s">
        <v>155</v>
      </c>
      <c r="B42" s="16" t="str">
        <f>"HEAA"&amp;C42</f>
        <v>HEAA100</v>
      </c>
      <c r="C42" s="12">
        <v>100</v>
      </c>
      <c r="D42" s="3">
        <v>91</v>
      </c>
      <c r="E42" s="3">
        <v>100</v>
      </c>
      <c r="F42" s="3">
        <v>4.2</v>
      </c>
      <c r="G42" s="3">
        <v>5.5</v>
      </c>
      <c r="H42" s="3">
        <v>12</v>
      </c>
      <c r="I42" s="3">
        <f t="shared" si="31"/>
        <v>56</v>
      </c>
      <c r="J42" s="3"/>
      <c r="K42" s="1">
        <f t="shared" si="32"/>
        <v>15.596106578830698</v>
      </c>
      <c r="L42" s="2">
        <v>237</v>
      </c>
      <c r="M42" s="1">
        <f t="shared" si="20"/>
        <v>52.08791208791209</v>
      </c>
      <c r="N42" s="4">
        <f t="shared" si="21"/>
        <v>3.898217581008885</v>
      </c>
      <c r="O42" s="3">
        <v>92.1</v>
      </c>
      <c r="P42" s="4">
        <f t="shared" si="22"/>
        <v>18.419999999999998</v>
      </c>
      <c r="Q42" s="4">
        <f t="shared" si="23"/>
        <v>2.4300864168694623</v>
      </c>
      <c r="R42" s="1">
        <f t="shared" si="24"/>
        <v>29.17904768175335</v>
      </c>
      <c r="S42" s="1">
        <f t="shared" si="2"/>
        <v>14.221854138111999</v>
      </c>
      <c r="T42" s="8">
        <f t="shared" si="3"/>
        <v>0.552998223686155</v>
      </c>
      <c r="U42" s="8">
        <f t="shared" si="4"/>
        <v>0.12242943664382099</v>
      </c>
      <c r="V42" s="8"/>
      <c r="W42" s="1">
        <f t="shared" si="5"/>
        <v>13.333333333333332</v>
      </c>
      <c r="X42" s="4">
        <f t="shared" si="6"/>
        <v>6.527272727272727</v>
      </c>
      <c r="Y42" s="4">
        <f t="shared" si="7"/>
        <v>3.591</v>
      </c>
      <c r="Z42" s="4">
        <f t="shared" si="8"/>
        <v>21.375</v>
      </c>
      <c r="AA42" s="6">
        <f t="shared" si="9"/>
        <v>0.02405408241237241</v>
      </c>
      <c r="AB42" s="4">
        <f t="shared" si="10"/>
        <v>1.675265625</v>
      </c>
      <c r="AC42" s="4">
        <f t="shared" si="11"/>
        <v>2.5130176698205258</v>
      </c>
      <c r="AD42" s="8"/>
      <c r="AE42" s="2">
        <f t="shared" si="12"/>
        <v>340.27868899266974</v>
      </c>
      <c r="AF42" s="2">
        <f t="shared" si="25"/>
        <v>510.41803348900464</v>
      </c>
      <c r="AG42" s="1">
        <f t="shared" si="13"/>
        <v>12.955684315684314</v>
      </c>
      <c r="AH42" s="1">
        <f t="shared" si="14"/>
        <v>19.43352647352647</v>
      </c>
      <c r="AI42" s="1">
        <f t="shared" si="15"/>
        <v>6.205899987539781</v>
      </c>
      <c r="AJ42" s="1">
        <f t="shared" si="16"/>
        <v>5.023636363636363</v>
      </c>
      <c r="AK42" s="1">
        <f t="shared" si="26"/>
        <v>9.308849981309672</v>
      </c>
      <c r="AL42" s="1">
        <f t="shared" si="27"/>
        <v>7.535454545454543</v>
      </c>
      <c r="AM42" s="1">
        <f t="shared" si="17"/>
        <v>45.2348687271261</v>
      </c>
      <c r="AN42" s="1">
        <f t="shared" si="28"/>
        <v>67.85230309068915</v>
      </c>
      <c r="AO42" s="1">
        <f t="shared" si="18"/>
        <v>138.56406460551017</v>
      </c>
      <c r="AP42" s="1">
        <f t="shared" si="29"/>
        <v>207.84609690826525</v>
      </c>
      <c r="AQ42" s="1">
        <f t="shared" si="30"/>
        <v>58.3580953635067</v>
      </c>
      <c r="AR42" s="1">
        <f t="shared" si="19"/>
        <v>28.443708276223997</v>
      </c>
    </row>
    <row r="43" spans="2:44" ht="12.75" outlineLevel="1">
      <c r="B43" s="11" t="str">
        <f aca="true" t="shared" si="80" ref="B43:B65">"HEAA"&amp;C43</f>
        <v>HEAA120</v>
      </c>
      <c r="C43" s="12">
        <v>120</v>
      </c>
      <c r="D43" s="3">
        <v>109</v>
      </c>
      <c r="E43" s="3">
        <v>120</v>
      </c>
      <c r="F43" s="3">
        <v>4.2</v>
      </c>
      <c r="G43" s="3">
        <v>5.5</v>
      </c>
      <c r="H43" s="3">
        <v>12</v>
      </c>
      <c r="I43" s="3">
        <f t="shared" si="31"/>
        <v>74</v>
      </c>
      <c r="J43" s="3"/>
      <c r="K43" s="1">
        <f t="shared" si="32"/>
        <v>18.552106578830696</v>
      </c>
      <c r="L43" s="2">
        <v>413</v>
      </c>
      <c r="M43" s="1">
        <f t="shared" si="20"/>
        <v>75.77981651376146</v>
      </c>
      <c r="N43" s="4">
        <f t="shared" si="21"/>
        <v>4.718222426349072</v>
      </c>
      <c r="O43" s="3">
        <v>159</v>
      </c>
      <c r="P43" s="4">
        <f t="shared" si="22"/>
        <v>26.5</v>
      </c>
      <c r="Q43" s="4">
        <f t="shared" si="23"/>
        <v>2.9275339949624986</v>
      </c>
      <c r="R43" s="1">
        <f t="shared" si="24"/>
        <v>42.05989564222716</v>
      </c>
      <c r="S43" s="1">
        <f t="shared" si="2"/>
        <v>20.311544138112</v>
      </c>
      <c r="T43" s="8">
        <f t="shared" si="3"/>
        <v>0.668998223686155</v>
      </c>
      <c r="U43" s="8">
        <f t="shared" si="4"/>
        <v>0.14563403664382096</v>
      </c>
      <c r="V43" s="8"/>
      <c r="W43" s="1">
        <f t="shared" si="5"/>
        <v>17.619047619047617</v>
      </c>
      <c r="X43" s="4">
        <f t="shared" si="6"/>
        <v>8.345454545454546</v>
      </c>
      <c r="Y43" s="4">
        <f t="shared" si="7"/>
        <v>4.347</v>
      </c>
      <c r="Z43" s="4">
        <f t="shared" si="8"/>
        <v>31.05</v>
      </c>
      <c r="AA43" s="6">
        <f t="shared" si="9"/>
        <v>0.01589691785801258</v>
      </c>
      <c r="AB43" s="4">
        <f t="shared" si="10"/>
        <v>4.242051</v>
      </c>
      <c r="AC43" s="4">
        <f t="shared" si="11"/>
        <v>2.7793038031538586</v>
      </c>
      <c r="AD43" s="8"/>
      <c r="AE43" s="2">
        <f t="shared" si="12"/>
        <v>404.77323444721515</v>
      </c>
      <c r="AF43" s="2">
        <f t="shared" si="25"/>
        <v>607.1598516708227</v>
      </c>
      <c r="AG43" s="1">
        <f t="shared" si="13"/>
        <v>18.848507089241032</v>
      </c>
      <c r="AH43" s="1">
        <f t="shared" si="14"/>
        <v>28.272760633861548</v>
      </c>
      <c r="AI43" s="1">
        <f t="shared" si="15"/>
        <v>8.863219260267055</v>
      </c>
      <c r="AJ43" s="1">
        <f t="shared" si="16"/>
        <v>7.227272727272727</v>
      </c>
      <c r="AK43" s="1">
        <f t="shared" si="26"/>
        <v>13.294828890400582</v>
      </c>
      <c r="AL43" s="1">
        <f t="shared" si="27"/>
        <v>10.84090909090909</v>
      </c>
      <c r="AM43" s="1">
        <f t="shared" si="17"/>
        <v>54.75799898546844</v>
      </c>
      <c r="AN43" s="1">
        <f t="shared" si="28"/>
        <v>82.13699847820266</v>
      </c>
      <c r="AO43" s="1">
        <f t="shared" si="18"/>
        <v>166.2768775266122</v>
      </c>
      <c r="AP43" s="1">
        <f t="shared" si="29"/>
        <v>249.41531628991828</v>
      </c>
      <c r="AQ43" s="1">
        <f t="shared" si="30"/>
        <v>84.11979128445432</v>
      </c>
      <c r="AR43" s="1">
        <f t="shared" si="19"/>
        <v>40.623088276224</v>
      </c>
    </row>
    <row r="44" spans="2:44" ht="12.75" outlineLevel="1">
      <c r="B44" s="11" t="str">
        <f t="shared" si="80"/>
        <v>HEAA140</v>
      </c>
      <c r="C44" s="12">
        <v>140</v>
      </c>
      <c r="D44" s="3">
        <v>128</v>
      </c>
      <c r="E44" s="3">
        <v>140</v>
      </c>
      <c r="F44" s="3">
        <v>4.3</v>
      </c>
      <c r="G44" s="3">
        <v>6</v>
      </c>
      <c r="H44" s="3">
        <v>12</v>
      </c>
      <c r="I44" s="3">
        <f t="shared" si="31"/>
        <v>92</v>
      </c>
      <c r="J44" s="3"/>
      <c r="K44" s="1">
        <f t="shared" si="32"/>
        <v>23.0241065788307</v>
      </c>
      <c r="L44" s="2">
        <v>719</v>
      </c>
      <c r="M44" s="2">
        <f t="shared" si="20"/>
        <v>112.34375</v>
      </c>
      <c r="N44" s="4">
        <f t="shared" si="21"/>
        <v>5.588214292077346</v>
      </c>
      <c r="O44" s="3">
        <v>275</v>
      </c>
      <c r="P44" s="4">
        <f t="shared" si="22"/>
        <v>39.285714285714285</v>
      </c>
      <c r="Q44" s="4">
        <f t="shared" si="23"/>
        <v>3.4560097055273626</v>
      </c>
      <c r="R44" s="1">
        <f t="shared" si="24"/>
        <v>61.891643602700974</v>
      </c>
      <c r="S44" s="1">
        <f t="shared" si="2"/>
        <v>29.966649378112002</v>
      </c>
      <c r="T44" s="8">
        <f t="shared" si="3"/>
        <v>0.7867982236861549</v>
      </c>
      <c r="U44" s="8">
        <f t="shared" si="4"/>
        <v>0.180739236643821</v>
      </c>
      <c r="V44" s="8"/>
      <c r="W44" s="1">
        <f t="shared" si="5"/>
        <v>21.395348837209305</v>
      </c>
      <c r="X44" s="4">
        <f t="shared" si="6"/>
        <v>9.308333333333332</v>
      </c>
      <c r="Y44" s="4">
        <f t="shared" si="7"/>
        <v>5.246</v>
      </c>
      <c r="Z44" s="4">
        <f t="shared" si="8"/>
        <v>42.7</v>
      </c>
      <c r="AA44" s="6">
        <f t="shared" si="9"/>
        <v>0.011572189199726019</v>
      </c>
      <c r="AB44" s="4">
        <f t="shared" si="10"/>
        <v>10.210424</v>
      </c>
      <c r="AC44" s="4">
        <f t="shared" si="11"/>
        <v>3.544941755560611</v>
      </c>
      <c r="AD44" s="8"/>
      <c r="AE44" s="2">
        <f t="shared" si="12"/>
        <v>502.34414353812434</v>
      </c>
      <c r="AF44" s="2">
        <f t="shared" si="25"/>
        <v>753.5162153071866</v>
      </c>
      <c r="AG44" s="1">
        <f t="shared" si="13"/>
        <v>27.942954545454544</v>
      </c>
      <c r="AH44" s="1">
        <f t="shared" si="14"/>
        <v>41.91443181818182</v>
      </c>
      <c r="AI44" s="1">
        <f t="shared" si="15"/>
        <v>13.076356092267053</v>
      </c>
      <c r="AJ44" s="1">
        <f t="shared" si="16"/>
        <v>10.714285714285714</v>
      </c>
      <c r="AK44" s="1">
        <f t="shared" si="26"/>
        <v>19.61453413840058</v>
      </c>
      <c r="AL44" s="1">
        <f t="shared" si="27"/>
        <v>16.07142857142857</v>
      </c>
      <c r="AM44" s="1">
        <f t="shared" si="17"/>
        <v>66.0824620836824</v>
      </c>
      <c r="AN44" s="1">
        <f t="shared" si="28"/>
        <v>99.1236931255236</v>
      </c>
      <c r="AO44" s="1">
        <f t="shared" si="18"/>
        <v>211.62511685205192</v>
      </c>
      <c r="AP44" s="1">
        <f t="shared" si="29"/>
        <v>317.4376752780779</v>
      </c>
      <c r="AQ44" s="1">
        <f t="shared" si="30"/>
        <v>123.78328720540195</v>
      </c>
      <c r="AR44" s="1">
        <f t="shared" si="19"/>
        <v>59.933298756224005</v>
      </c>
    </row>
    <row r="45" spans="2:44" ht="12.75" outlineLevel="1">
      <c r="B45" s="11" t="str">
        <f t="shared" si="80"/>
        <v>HEAA160</v>
      </c>
      <c r="C45" s="12">
        <v>160</v>
      </c>
      <c r="D45" s="3">
        <v>148</v>
      </c>
      <c r="E45" s="3">
        <v>160</v>
      </c>
      <c r="F45" s="3">
        <v>4.5</v>
      </c>
      <c r="G45" s="3">
        <v>7</v>
      </c>
      <c r="H45" s="3">
        <v>15</v>
      </c>
      <c r="I45" s="3">
        <f t="shared" si="31"/>
        <v>104</v>
      </c>
      <c r="J45" s="3"/>
      <c r="K45" s="1">
        <f t="shared" si="32"/>
        <v>30.361416529422968</v>
      </c>
      <c r="L45" s="2">
        <v>1280</v>
      </c>
      <c r="M45" s="2">
        <f t="shared" si="20"/>
        <v>172.97297297297297</v>
      </c>
      <c r="N45" s="4">
        <f t="shared" si="21"/>
        <v>6.492978575302691</v>
      </c>
      <c r="O45" s="3">
        <v>479</v>
      </c>
      <c r="P45" s="4">
        <f t="shared" si="22"/>
        <v>59.875</v>
      </c>
      <c r="Q45" s="4">
        <f t="shared" si="23"/>
        <v>3.971977152827172</v>
      </c>
      <c r="R45" s="1">
        <f t="shared" si="24"/>
        <v>95.20692999093403</v>
      </c>
      <c r="S45" s="1">
        <f t="shared" si="2"/>
        <v>45.680032613499996</v>
      </c>
      <c r="T45" s="8">
        <f t="shared" si="3"/>
        <v>0.9012477796076939</v>
      </c>
      <c r="U45" s="8">
        <f t="shared" si="4"/>
        <v>0.2383371197559703</v>
      </c>
      <c r="V45" s="8"/>
      <c r="W45" s="1">
        <f t="shared" si="5"/>
        <v>23.11111111111111</v>
      </c>
      <c r="X45" s="4">
        <f t="shared" si="6"/>
        <v>8.964285714285714</v>
      </c>
      <c r="Y45" s="4">
        <f t="shared" si="7"/>
        <v>6.345</v>
      </c>
      <c r="Z45" s="4">
        <f t="shared" si="8"/>
        <v>56.4</v>
      </c>
      <c r="AA45" s="6">
        <f t="shared" si="9"/>
        <v>0.010138821434110873</v>
      </c>
      <c r="AB45" s="4">
        <f t="shared" si="10"/>
        <v>23.751168</v>
      </c>
      <c r="AC45" s="4">
        <f t="shared" si="11"/>
        <v>6.329861331386844</v>
      </c>
      <c r="AD45" s="8"/>
      <c r="AE45" s="2">
        <f t="shared" si="12"/>
        <v>662.4309060965011</v>
      </c>
      <c r="AF45" s="2">
        <f t="shared" si="25"/>
        <v>993.6463591447516</v>
      </c>
      <c r="AG45" s="1">
        <f t="shared" si="13"/>
        <v>43.023095823095815</v>
      </c>
      <c r="AH45" s="1">
        <f t="shared" si="14"/>
        <v>64.53464373464372</v>
      </c>
      <c r="AI45" s="1">
        <f t="shared" si="15"/>
        <v>19.93310514043636</v>
      </c>
      <c r="AJ45" s="1">
        <f t="shared" si="16"/>
        <v>16.329545454545453</v>
      </c>
      <c r="AK45" s="1">
        <f t="shared" si="26"/>
        <v>29.89965771065454</v>
      </c>
      <c r="AL45" s="1">
        <f t="shared" si="27"/>
        <v>24.49431818181818</v>
      </c>
      <c r="AM45" s="1">
        <f t="shared" si="17"/>
        <v>79.92627181108746</v>
      </c>
      <c r="AN45" s="1">
        <f t="shared" si="28"/>
        <v>119.88940771663118</v>
      </c>
      <c r="AO45" s="1">
        <f t="shared" si="18"/>
        <v>282.1668224694025</v>
      </c>
      <c r="AP45" s="1">
        <f t="shared" si="29"/>
        <v>423.2502337041038</v>
      </c>
      <c r="AQ45" s="1">
        <f t="shared" si="30"/>
        <v>190.41385998186806</v>
      </c>
      <c r="AR45" s="1">
        <f t="shared" si="19"/>
        <v>91.36006522699999</v>
      </c>
    </row>
    <row r="46" spans="2:44" ht="12.75" outlineLevel="1">
      <c r="B46" s="11" t="str">
        <f t="shared" si="80"/>
        <v>HEAA180</v>
      </c>
      <c r="C46" s="12">
        <v>180</v>
      </c>
      <c r="D46" s="3">
        <v>167</v>
      </c>
      <c r="E46" s="3">
        <v>180</v>
      </c>
      <c r="F46" s="3">
        <v>5</v>
      </c>
      <c r="G46" s="3">
        <v>7.5</v>
      </c>
      <c r="H46" s="3">
        <v>15</v>
      </c>
      <c r="I46" s="3">
        <f t="shared" si="31"/>
        <v>122</v>
      </c>
      <c r="J46" s="3"/>
      <c r="K46" s="1">
        <f t="shared" si="32"/>
        <v>36.53141652942297</v>
      </c>
      <c r="L46" s="2">
        <v>1970</v>
      </c>
      <c r="M46" s="2">
        <f t="shared" si="20"/>
        <v>235.92814371257487</v>
      </c>
      <c r="N46" s="4">
        <f t="shared" si="21"/>
        <v>7.343445173998797</v>
      </c>
      <c r="O46" s="3">
        <v>730</v>
      </c>
      <c r="P46" s="1">
        <f t="shared" si="22"/>
        <v>81.11111111111111</v>
      </c>
      <c r="Q46" s="4">
        <f t="shared" si="23"/>
        <v>4.470212552843666</v>
      </c>
      <c r="R46" s="2">
        <f t="shared" si="24"/>
        <v>129.11831742917437</v>
      </c>
      <c r="S46" s="1">
        <f t="shared" si="2"/>
        <v>61.7899876135</v>
      </c>
      <c r="T46" s="8">
        <f t="shared" si="3"/>
        <v>1.0182477796076939</v>
      </c>
      <c r="U46" s="8">
        <f t="shared" si="4"/>
        <v>0.2867716197559703</v>
      </c>
      <c r="V46" s="8"/>
      <c r="W46" s="1">
        <f t="shared" si="5"/>
        <v>24.4</v>
      </c>
      <c r="X46" s="4">
        <f t="shared" si="6"/>
        <v>9.666666666666666</v>
      </c>
      <c r="Y46" s="4">
        <f t="shared" si="7"/>
        <v>7.975</v>
      </c>
      <c r="Z46" s="4">
        <f t="shared" si="8"/>
        <v>71.775</v>
      </c>
      <c r="AA46" s="6">
        <f t="shared" si="9"/>
        <v>0.00832661088219766</v>
      </c>
      <c r="AB46" s="4">
        <f t="shared" si="10"/>
        <v>46.364855625</v>
      </c>
      <c r="AC46" s="4">
        <f t="shared" si="11"/>
        <v>8.334119572530865</v>
      </c>
      <c r="AD46" s="8"/>
      <c r="AE46" s="2">
        <f t="shared" si="12"/>
        <v>797.0490879146829</v>
      </c>
      <c r="AF46" s="2">
        <f t="shared" si="25"/>
        <v>1195.5736318720244</v>
      </c>
      <c r="AG46" s="1">
        <f t="shared" si="13"/>
        <v>58.6817637452368</v>
      </c>
      <c r="AH46" s="1">
        <f t="shared" si="14"/>
        <v>88.0226456178552</v>
      </c>
      <c r="AI46" s="1">
        <f t="shared" si="15"/>
        <v>26.96290368589091</v>
      </c>
      <c r="AJ46" s="1">
        <f t="shared" si="16"/>
        <v>22.12121212121212</v>
      </c>
      <c r="AK46" s="1">
        <f t="shared" si="26"/>
        <v>40.44435552883637</v>
      </c>
      <c r="AL46" s="1">
        <f t="shared" si="27"/>
        <v>33.18181818181818</v>
      </c>
      <c r="AM46" s="1">
        <f t="shared" si="17"/>
        <v>100.45894683899488</v>
      </c>
      <c r="AN46" s="1">
        <f t="shared" si="28"/>
        <v>150.68842025849233</v>
      </c>
      <c r="AO46" s="1">
        <f t="shared" si="18"/>
        <v>340.1117949407977</v>
      </c>
      <c r="AP46" s="1">
        <f t="shared" si="29"/>
        <v>510.1676924111966</v>
      </c>
      <c r="AQ46" s="1">
        <f t="shared" si="30"/>
        <v>258.23663485834874</v>
      </c>
      <c r="AR46" s="1">
        <f t="shared" si="19"/>
        <v>123.579975227</v>
      </c>
    </row>
    <row r="47" spans="2:44" ht="12.75" outlineLevel="1">
      <c r="B47" s="11" t="str">
        <f t="shared" si="80"/>
        <v>HEAA200</v>
      </c>
      <c r="C47" s="12">
        <v>200</v>
      </c>
      <c r="D47" s="3">
        <v>186</v>
      </c>
      <c r="E47" s="3">
        <v>200</v>
      </c>
      <c r="F47" s="3">
        <v>5.5</v>
      </c>
      <c r="G47" s="3">
        <v>8</v>
      </c>
      <c r="H47" s="3">
        <v>18</v>
      </c>
      <c r="I47" s="3">
        <f t="shared" si="31"/>
        <v>134</v>
      </c>
      <c r="J47" s="3"/>
      <c r="K47" s="1">
        <f t="shared" si="32"/>
        <v>44.13123980236907</v>
      </c>
      <c r="L47" s="2">
        <v>2940</v>
      </c>
      <c r="M47" s="2">
        <f t="shared" si="20"/>
        <v>316.1290322580645</v>
      </c>
      <c r="N47" s="4">
        <f t="shared" si="21"/>
        <v>8.162075372982057</v>
      </c>
      <c r="O47" s="3">
        <v>1070</v>
      </c>
      <c r="P47" s="1">
        <f t="shared" si="22"/>
        <v>107</v>
      </c>
      <c r="Q47" s="4">
        <f t="shared" si="23"/>
        <v>4.924008847461236</v>
      </c>
      <c r="R47" s="2">
        <f t="shared" si="24"/>
        <v>173.52989817887888</v>
      </c>
      <c r="S47" s="1">
        <f t="shared" si="2"/>
        <v>81.584345896128</v>
      </c>
      <c r="T47" s="8">
        <f t="shared" si="3"/>
        <v>1.1300973355292325</v>
      </c>
      <c r="U47" s="8">
        <f t="shared" si="4"/>
        <v>0.3464302324485972</v>
      </c>
      <c r="V47" s="8"/>
      <c r="W47" s="1">
        <f t="shared" si="5"/>
        <v>24.363636363636363</v>
      </c>
      <c r="X47" s="4">
        <f t="shared" si="6"/>
        <v>9.90625</v>
      </c>
      <c r="Y47" s="4">
        <f t="shared" si="7"/>
        <v>9.79</v>
      </c>
      <c r="Z47" s="4">
        <f t="shared" si="8"/>
        <v>89</v>
      </c>
      <c r="AA47" s="6">
        <f t="shared" si="9"/>
        <v>0.007610719304463904</v>
      </c>
      <c r="AB47" s="4">
        <f t="shared" si="10"/>
        <v>84.49066666666667</v>
      </c>
      <c r="AC47" s="4">
        <f t="shared" si="11"/>
        <v>12.688036585986303</v>
      </c>
      <c r="AD47" s="8"/>
      <c r="AE47" s="2">
        <f t="shared" si="12"/>
        <v>962.8634138698707</v>
      </c>
      <c r="AF47" s="2">
        <f t="shared" si="25"/>
        <v>1444.295120804806</v>
      </c>
      <c r="AG47" s="1">
        <f t="shared" si="13"/>
        <v>78.6299120234604</v>
      </c>
      <c r="AH47" s="1">
        <f t="shared" si="14"/>
        <v>117.94486803519061</v>
      </c>
      <c r="AI47" s="1">
        <f t="shared" si="15"/>
        <v>35.60044184558312</v>
      </c>
      <c r="AJ47" s="1">
        <f t="shared" si="16"/>
        <v>29.18181818181818</v>
      </c>
      <c r="AK47" s="1">
        <f t="shared" si="26"/>
        <v>53.40066276837468</v>
      </c>
      <c r="AL47" s="1">
        <f t="shared" si="27"/>
        <v>43.772727272727266</v>
      </c>
      <c r="AM47" s="1">
        <f t="shared" si="17"/>
        <v>123.32201749890406</v>
      </c>
      <c r="AN47" s="1">
        <f t="shared" si="28"/>
        <v>184.98302624835608</v>
      </c>
      <c r="AO47" s="1">
        <f t="shared" si="18"/>
        <v>403.09546067057505</v>
      </c>
      <c r="AP47" s="1">
        <f t="shared" si="29"/>
        <v>604.6431910058626</v>
      </c>
      <c r="AQ47" s="1">
        <f t="shared" si="30"/>
        <v>347.05979635775776</v>
      </c>
      <c r="AR47" s="1">
        <f t="shared" si="19"/>
        <v>163.168691792256</v>
      </c>
    </row>
    <row r="48" spans="2:44" ht="12.75" outlineLevel="1">
      <c r="B48" s="11" t="str">
        <f t="shared" si="80"/>
        <v>HEAA220</v>
      </c>
      <c r="C48" s="12">
        <v>220</v>
      </c>
      <c r="D48" s="3">
        <v>205</v>
      </c>
      <c r="E48" s="3">
        <v>220</v>
      </c>
      <c r="F48" s="3">
        <v>6</v>
      </c>
      <c r="G48" s="3">
        <v>8.5</v>
      </c>
      <c r="H48" s="3">
        <v>18</v>
      </c>
      <c r="I48" s="3">
        <f t="shared" si="31"/>
        <v>152</v>
      </c>
      <c r="J48" s="3"/>
      <c r="K48" s="1">
        <f t="shared" si="32"/>
        <v>51.46123980236907</v>
      </c>
      <c r="L48" s="2">
        <v>4170</v>
      </c>
      <c r="M48" s="2">
        <f t="shared" si="20"/>
        <v>406.8292682926829</v>
      </c>
      <c r="N48" s="4">
        <f t="shared" si="21"/>
        <v>9.00176984855125</v>
      </c>
      <c r="O48" s="3">
        <v>1510</v>
      </c>
      <c r="P48" s="1">
        <f t="shared" si="22"/>
        <v>137.27272727272728</v>
      </c>
      <c r="Q48" s="4">
        <f t="shared" si="23"/>
        <v>5.416869228018286</v>
      </c>
      <c r="R48" s="2">
        <f t="shared" si="24"/>
        <v>222.74820608994494</v>
      </c>
      <c r="S48" s="1">
        <f t="shared" si="2"/>
        <v>104.672298596128</v>
      </c>
      <c r="T48" s="8">
        <f t="shared" si="3"/>
        <v>1.2470973355292325</v>
      </c>
      <c r="U48" s="8">
        <f t="shared" si="4"/>
        <v>0.4039707324485972</v>
      </c>
      <c r="V48" s="8"/>
      <c r="W48" s="1">
        <f t="shared" si="5"/>
        <v>25.333333333333332</v>
      </c>
      <c r="X48" s="4">
        <f t="shared" si="6"/>
        <v>10.470588235294118</v>
      </c>
      <c r="Y48" s="4">
        <f t="shared" si="7"/>
        <v>11.79</v>
      </c>
      <c r="Z48" s="2">
        <f t="shared" si="8"/>
        <v>108.075</v>
      </c>
      <c r="AA48" s="6">
        <f t="shared" si="9"/>
        <v>0.00649538713118911</v>
      </c>
      <c r="AB48" s="4">
        <f t="shared" si="10"/>
        <v>145.613230125</v>
      </c>
      <c r="AC48" s="4">
        <f t="shared" si="11"/>
        <v>15.927411214194807</v>
      </c>
      <c r="AD48" s="8"/>
      <c r="AE48" s="2">
        <f t="shared" si="12"/>
        <v>1122.7906865971433</v>
      </c>
      <c r="AF48" s="2">
        <f t="shared" si="25"/>
        <v>1684.1860298957151</v>
      </c>
      <c r="AG48" s="1">
        <f t="shared" si="13"/>
        <v>101.18953436807095</v>
      </c>
      <c r="AH48" s="1">
        <f t="shared" si="14"/>
        <v>151.78430155210643</v>
      </c>
      <c r="AI48" s="1">
        <f t="shared" si="15"/>
        <v>45.67518484194676</v>
      </c>
      <c r="AJ48" s="1">
        <f t="shared" si="16"/>
        <v>37.438016528925615</v>
      </c>
      <c r="AK48" s="1">
        <f t="shared" si="26"/>
        <v>68.51277726292014</v>
      </c>
      <c r="AL48" s="1">
        <f t="shared" si="27"/>
        <v>56.15702479338842</v>
      </c>
      <c r="AM48" s="1">
        <f t="shared" si="17"/>
        <v>148.51548379081498</v>
      </c>
      <c r="AN48" s="1">
        <f t="shared" si="28"/>
        <v>222.77322568622247</v>
      </c>
      <c r="AO48" s="1">
        <f t="shared" si="18"/>
        <v>471.11781965873456</v>
      </c>
      <c r="AP48" s="1">
        <f t="shared" si="29"/>
        <v>706.6767294881018</v>
      </c>
      <c r="AQ48" s="1">
        <f t="shared" si="30"/>
        <v>445.4964121798899</v>
      </c>
      <c r="AR48" s="1">
        <f t="shared" si="19"/>
        <v>209.344597192256</v>
      </c>
    </row>
    <row r="49" spans="2:44" ht="12.75" outlineLevel="1">
      <c r="B49" s="11" t="str">
        <f t="shared" si="80"/>
        <v>HEAA240</v>
      </c>
      <c r="C49" s="12">
        <v>240</v>
      </c>
      <c r="D49" s="3">
        <v>224</v>
      </c>
      <c r="E49" s="3">
        <v>240</v>
      </c>
      <c r="F49" s="3">
        <v>6.5</v>
      </c>
      <c r="G49" s="3">
        <v>9</v>
      </c>
      <c r="H49" s="3">
        <v>21</v>
      </c>
      <c r="I49" s="3">
        <f t="shared" si="31"/>
        <v>164</v>
      </c>
      <c r="J49" s="3"/>
      <c r="K49" s="1">
        <f t="shared" si="32"/>
        <v>60.37557639766901</v>
      </c>
      <c r="L49" s="2">
        <v>5840</v>
      </c>
      <c r="M49" s="2">
        <f t="shared" si="20"/>
        <v>521.4285714285714</v>
      </c>
      <c r="N49" s="4">
        <f t="shared" si="21"/>
        <v>9.83503202897743</v>
      </c>
      <c r="O49" s="3">
        <v>2080</v>
      </c>
      <c r="P49" s="1">
        <f t="shared" si="22"/>
        <v>173.33333333333334</v>
      </c>
      <c r="Q49" s="4">
        <f t="shared" si="23"/>
        <v>5.869498858781482</v>
      </c>
      <c r="R49" s="2">
        <f t="shared" si="24"/>
        <v>285.28710503805075</v>
      </c>
      <c r="S49" s="1">
        <f t="shared" si="2"/>
        <v>132.190944211444</v>
      </c>
      <c r="T49" s="8">
        <f t="shared" si="3"/>
        <v>1.3589468914507714</v>
      </c>
      <c r="U49" s="8">
        <f t="shared" si="4"/>
        <v>0.4739482747217017</v>
      </c>
      <c r="V49" s="8"/>
      <c r="W49" s="1">
        <f t="shared" si="5"/>
        <v>25.23076923076923</v>
      </c>
      <c r="X49" s="4">
        <f t="shared" si="6"/>
        <v>10.63888888888889</v>
      </c>
      <c r="Y49" s="4">
        <f t="shared" si="7"/>
        <v>13.975</v>
      </c>
      <c r="Z49" s="2">
        <f t="shared" si="8"/>
        <v>129</v>
      </c>
      <c r="AA49" s="6">
        <f t="shared" si="9"/>
        <v>0.006082321500695667</v>
      </c>
      <c r="AB49" s="4">
        <f t="shared" si="10"/>
        <v>239.6304</v>
      </c>
      <c r="AC49" s="4">
        <f t="shared" si="11"/>
        <v>22.98343481788638</v>
      </c>
      <c r="AD49" s="8"/>
      <c r="AE49" s="2">
        <f t="shared" si="12"/>
        <v>1317.285303221869</v>
      </c>
      <c r="AF49" s="2">
        <f t="shared" si="25"/>
        <v>1975.9279548328038</v>
      </c>
      <c r="AG49" s="1">
        <f t="shared" si="13"/>
        <v>129.69350649350648</v>
      </c>
      <c r="AH49" s="1">
        <f t="shared" si="14"/>
        <v>194.54025974025973</v>
      </c>
      <c r="AI49" s="1">
        <f t="shared" si="15"/>
        <v>57.68332111044829</v>
      </c>
      <c r="AJ49" s="1">
        <f t="shared" si="16"/>
        <v>47.27272727272727</v>
      </c>
      <c r="AK49" s="1">
        <f t="shared" si="26"/>
        <v>86.52498166567244</v>
      </c>
      <c r="AL49" s="1">
        <f t="shared" si="27"/>
        <v>70.9090909090909</v>
      </c>
      <c r="AM49" s="1">
        <f t="shared" si="17"/>
        <v>176.03934571472772</v>
      </c>
      <c r="AN49" s="1">
        <f t="shared" si="28"/>
        <v>264.0590185720916</v>
      </c>
      <c r="AO49" s="1">
        <f t="shared" si="18"/>
        <v>544.1788719052763</v>
      </c>
      <c r="AP49" s="1">
        <f t="shared" si="29"/>
        <v>816.2683078579145</v>
      </c>
      <c r="AQ49" s="1">
        <f t="shared" si="30"/>
        <v>570.5742100761015</v>
      </c>
      <c r="AR49" s="1">
        <f t="shared" si="19"/>
        <v>264.381888422888</v>
      </c>
    </row>
    <row r="50" spans="2:44" ht="12.75" outlineLevel="1">
      <c r="B50" s="11" t="str">
        <f t="shared" si="80"/>
        <v>HEAA260</v>
      </c>
      <c r="C50" s="12">
        <v>260</v>
      </c>
      <c r="D50" s="3">
        <v>244</v>
      </c>
      <c r="E50" s="3">
        <v>260</v>
      </c>
      <c r="F50" s="3">
        <v>6.5</v>
      </c>
      <c r="G50" s="3">
        <v>9.5</v>
      </c>
      <c r="H50" s="3">
        <v>24</v>
      </c>
      <c r="I50" s="3">
        <f t="shared" si="31"/>
        <v>177</v>
      </c>
      <c r="J50" s="3"/>
      <c r="K50" s="1">
        <f t="shared" si="32"/>
        <v>68.96942631532279</v>
      </c>
      <c r="L50" s="2">
        <v>7980</v>
      </c>
      <c r="M50" s="2">
        <f t="shared" si="20"/>
        <v>654.0983606557378</v>
      </c>
      <c r="N50" s="1">
        <f t="shared" si="21"/>
        <v>10.756553432536608</v>
      </c>
      <c r="O50" s="3">
        <v>2790</v>
      </c>
      <c r="P50" s="1">
        <f t="shared" si="22"/>
        <v>214.6153846153846</v>
      </c>
      <c r="Q50" s="4">
        <f t="shared" si="23"/>
        <v>6.360244262366337</v>
      </c>
      <c r="R50" s="2">
        <f t="shared" si="24"/>
        <v>357.22738671642634</v>
      </c>
      <c r="S50" s="1">
        <f t="shared" si="2"/>
        <v>163.867056114896</v>
      </c>
      <c r="T50" s="8">
        <f t="shared" si="3"/>
        <v>1.47379644737231</v>
      </c>
      <c r="U50" s="8">
        <f t="shared" si="4"/>
        <v>0.5414099965752839</v>
      </c>
      <c r="V50" s="8"/>
      <c r="W50" s="1">
        <f t="shared" si="5"/>
        <v>27.23076923076923</v>
      </c>
      <c r="X50" s="4">
        <f t="shared" si="6"/>
        <v>10.81578947368421</v>
      </c>
      <c r="Y50" s="4">
        <f t="shared" si="7"/>
        <v>15.2425</v>
      </c>
      <c r="Z50" s="2">
        <f t="shared" si="8"/>
        <v>152.425</v>
      </c>
      <c r="AA50" s="6">
        <f t="shared" si="9"/>
        <v>0.005528210331582838</v>
      </c>
      <c r="AB50" s="4">
        <f t="shared" si="10"/>
        <v>382.5763342916667</v>
      </c>
      <c r="AC50" s="4">
        <f t="shared" si="11"/>
        <v>30.312481715192483</v>
      </c>
      <c r="AD50" s="8"/>
      <c r="AE50" s="2">
        <f t="shared" si="12"/>
        <v>1504.7874832434063</v>
      </c>
      <c r="AF50" s="2">
        <f t="shared" si="25"/>
        <v>2257.1812248651095</v>
      </c>
      <c r="AG50" s="1">
        <f t="shared" si="13"/>
        <v>162.6921013412817</v>
      </c>
      <c r="AH50" s="1">
        <f t="shared" si="14"/>
        <v>244.03815201192253</v>
      </c>
      <c r="AI50" s="1">
        <f t="shared" si="15"/>
        <v>71.50562448650007</v>
      </c>
      <c r="AJ50" s="1">
        <f t="shared" si="16"/>
        <v>58.531468531468526</v>
      </c>
      <c r="AK50" s="1">
        <f t="shared" si="26"/>
        <v>107.2584367297501</v>
      </c>
      <c r="AL50" s="1">
        <f t="shared" si="27"/>
        <v>87.79720279720279</v>
      </c>
      <c r="AM50" s="1">
        <f t="shared" si="17"/>
        <v>192.00570497722626</v>
      </c>
      <c r="AN50" s="1">
        <f t="shared" si="28"/>
        <v>288.0085574658394</v>
      </c>
      <c r="AO50" s="1">
        <f t="shared" si="18"/>
        <v>622.2786174102002</v>
      </c>
      <c r="AP50" s="1">
        <f t="shared" si="29"/>
        <v>933.4179261153004</v>
      </c>
      <c r="AQ50" s="1">
        <f t="shared" si="30"/>
        <v>714.4547734328527</v>
      </c>
      <c r="AR50" s="1">
        <f t="shared" si="19"/>
        <v>327.734112229792</v>
      </c>
    </row>
    <row r="51" spans="2:44" ht="12.75" outlineLevel="1">
      <c r="B51" s="11" t="str">
        <f t="shared" si="80"/>
        <v>HEAA280</v>
      </c>
      <c r="C51" s="12">
        <v>280</v>
      </c>
      <c r="D51" s="3">
        <v>264</v>
      </c>
      <c r="E51" s="3">
        <v>280</v>
      </c>
      <c r="F51" s="3">
        <v>7</v>
      </c>
      <c r="G51" s="3">
        <v>10</v>
      </c>
      <c r="H51" s="3">
        <v>24</v>
      </c>
      <c r="I51" s="3">
        <f t="shared" si="31"/>
        <v>196</v>
      </c>
      <c r="J51" s="3"/>
      <c r="K51" s="1">
        <f t="shared" si="32"/>
        <v>78.02442631532278</v>
      </c>
      <c r="L51" s="2">
        <v>10560</v>
      </c>
      <c r="M51" s="2">
        <f t="shared" si="20"/>
        <v>800</v>
      </c>
      <c r="N51" s="1">
        <f t="shared" si="21"/>
        <v>11.633668032783783</v>
      </c>
      <c r="O51" s="3">
        <v>3660</v>
      </c>
      <c r="P51" s="1">
        <f t="shared" si="22"/>
        <v>261.42857142857144</v>
      </c>
      <c r="Q51" s="4">
        <f t="shared" si="23"/>
        <v>6.848969790529023</v>
      </c>
      <c r="R51" s="2">
        <f t="shared" si="24"/>
        <v>436.5296767162047</v>
      </c>
      <c r="S51" s="1">
        <f t="shared" si="2"/>
        <v>199.68507966489602</v>
      </c>
      <c r="T51" s="8">
        <f t="shared" si="3"/>
        <v>1.59279644737231</v>
      </c>
      <c r="U51" s="8">
        <f t="shared" si="4"/>
        <v>0.6124917465752838</v>
      </c>
      <c r="V51" s="8"/>
      <c r="W51" s="1">
        <f t="shared" si="5"/>
        <v>28</v>
      </c>
      <c r="X51" s="4">
        <f t="shared" si="6"/>
        <v>11.25</v>
      </c>
      <c r="Y51" s="4">
        <f t="shared" si="7"/>
        <v>17.78</v>
      </c>
      <c r="Z51" s="2">
        <f t="shared" si="8"/>
        <v>177.8</v>
      </c>
      <c r="AA51" s="6">
        <f t="shared" si="9"/>
        <v>0.004865786315741217</v>
      </c>
      <c r="AB51" s="4">
        <f t="shared" si="10"/>
        <v>590.1063466666667</v>
      </c>
      <c r="AC51" s="4">
        <f t="shared" si="11"/>
        <v>36.22184991732531</v>
      </c>
      <c r="AD51" s="8"/>
      <c r="AE51" s="2">
        <f t="shared" si="12"/>
        <v>1702.3511196070424</v>
      </c>
      <c r="AF51" s="2">
        <f t="shared" si="25"/>
        <v>2553.5266794105637</v>
      </c>
      <c r="AG51" s="1">
        <f t="shared" si="13"/>
        <v>198.98181818181817</v>
      </c>
      <c r="AH51" s="1">
        <f t="shared" si="14"/>
        <v>298.47272727272724</v>
      </c>
      <c r="AI51" s="1">
        <f t="shared" si="15"/>
        <v>87.13530749013644</v>
      </c>
      <c r="AJ51" s="1">
        <f t="shared" si="16"/>
        <v>71.2987012987013</v>
      </c>
      <c r="AK51" s="1">
        <f t="shared" si="26"/>
        <v>130.70296123520467</v>
      </c>
      <c r="AL51" s="1">
        <f t="shared" si="27"/>
        <v>106.94805194805195</v>
      </c>
      <c r="AM51" s="1">
        <f t="shared" si="17"/>
        <v>223.96991533508827</v>
      </c>
      <c r="AN51" s="1">
        <f t="shared" si="28"/>
        <v>335.95487300263244</v>
      </c>
      <c r="AO51" s="1">
        <f t="shared" si="18"/>
        <v>705.4170561735065</v>
      </c>
      <c r="AP51" s="1">
        <f t="shared" si="29"/>
        <v>1058.1255842602598</v>
      </c>
      <c r="AQ51" s="1">
        <f t="shared" si="30"/>
        <v>873.0593534324094</v>
      </c>
      <c r="AR51" s="1">
        <f t="shared" si="19"/>
        <v>399.37015932979205</v>
      </c>
    </row>
    <row r="52" spans="2:44" ht="12.75" outlineLevel="1">
      <c r="B52" s="11" t="str">
        <f t="shared" si="80"/>
        <v>HEAA300</v>
      </c>
      <c r="C52" s="12">
        <v>300</v>
      </c>
      <c r="D52" s="3">
        <v>283</v>
      </c>
      <c r="E52" s="3">
        <v>300</v>
      </c>
      <c r="F52" s="3">
        <v>7.5</v>
      </c>
      <c r="G52" s="3">
        <v>10.5</v>
      </c>
      <c r="H52" s="3">
        <v>27</v>
      </c>
      <c r="I52" s="3">
        <f t="shared" si="31"/>
        <v>208</v>
      </c>
      <c r="J52" s="3"/>
      <c r="K52" s="1">
        <f t="shared" si="32"/>
        <v>88.90778955533042</v>
      </c>
      <c r="L52" s="2">
        <v>13800</v>
      </c>
      <c r="M52" s="2">
        <f t="shared" si="20"/>
        <v>975.2650176678445</v>
      </c>
      <c r="N52" s="1">
        <f t="shared" si="21"/>
        <v>12.458611311961253</v>
      </c>
      <c r="O52" s="3">
        <v>4730</v>
      </c>
      <c r="P52" s="1">
        <f t="shared" si="22"/>
        <v>315.3333333333333</v>
      </c>
      <c r="Q52" s="4">
        <f t="shared" si="23"/>
        <v>7.2939144290697175</v>
      </c>
      <c r="R52" s="2">
        <f t="shared" si="24"/>
        <v>532.6427382758991</v>
      </c>
      <c r="S52" s="1">
        <f t="shared" si="2"/>
        <v>241.152530161932</v>
      </c>
      <c r="T52" s="8">
        <f t="shared" si="3"/>
        <v>1.7046460032938489</v>
      </c>
      <c r="U52" s="8">
        <f t="shared" si="4"/>
        <v>0.6979261480093438</v>
      </c>
      <c r="V52" s="8"/>
      <c r="W52" s="1">
        <f t="shared" si="5"/>
        <v>27.733333333333334</v>
      </c>
      <c r="X52" s="4">
        <f t="shared" si="6"/>
        <v>11.357142857142858</v>
      </c>
      <c r="Y52" s="4">
        <f t="shared" si="7"/>
        <v>20.4375</v>
      </c>
      <c r="Z52" s="2">
        <f t="shared" si="8"/>
        <v>204.375</v>
      </c>
      <c r="AA52" s="6">
        <f t="shared" si="9"/>
        <v>0.004658281218985698</v>
      </c>
      <c r="AB52" s="4">
        <f t="shared" si="10"/>
        <v>877.151953125</v>
      </c>
      <c r="AC52" s="4">
        <f t="shared" si="11"/>
        <v>49.34697292305391</v>
      </c>
      <c r="AD52" s="8"/>
      <c r="AE52" s="2">
        <f t="shared" si="12"/>
        <v>1939.8063175708455</v>
      </c>
      <c r="AF52" s="2">
        <f t="shared" si="25"/>
        <v>2909.709476356268</v>
      </c>
      <c r="AG52" s="1">
        <f t="shared" si="13"/>
        <v>242.5750080308384</v>
      </c>
      <c r="AH52" s="1">
        <f t="shared" si="14"/>
        <v>363.8625120462576</v>
      </c>
      <c r="AI52" s="1">
        <f t="shared" si="15"/>
        <v>105.23019497975214</v>
      </c>
      <c r="AJ52" s="1">
        <f t="shared" si="16"/>
        <v>85.99999999999999</v>
      </c>
      <c r="AK52" s="1">
        <f t="shared" si="26"/>
        <v>157.84529246962822</v>
      </c>
      <c r="AL52" s="1">
        <f t="shared" si="27"/>
        <v>128.99999999999997</v>
      </c>
      <c r="AM52" s="1">
        <f t="shared" si="17"/>
        <v>257.44573367046496</v>
      </c>
      <c r="AN52" s="1">
        <f t="shared" si="28"/>
        <v>386.16860050569744</v>
      </c>
      <c r="AO52" s="1">
        <f t="shared" si="18"/>
        <v>793.5941881951948</v>
      </c>
      <c r="AP52" s="1">
        <f t="shared" si="29"/>
        <v>1190.391282292792</v>
      </c>
      <c r="AQ52" s="1">
        <f t="shared" si="30"/>
        <v>1065.2854765517982</v>
      </c>
      <c r="AR52" s="1">
        <f t="shared" si="19"/>
        <v>482.305060323864</v>
      </c>
    </row>
    <row r="53" spans="2:44" ht="12.75" outlineLevel="1">
      <c r="B53" s="11" t="str">
        <f t="shared" si="80"/>
        <v>HEAA320</v>
      </c>
      <c r="C53" s="12">
        <v>320</v>
      </c>
      <c r="D53" s="3">
        <v>301</v>
      </c>
      <c r="E53" s="3">
        <v>300</v>
      </c>
      <c r="F53" s="3">
        <v>8</v>
      </c>
      <c r="G53" s="3">
        <v>11</v>
      </c>
      <c r="H53" s="3">
        <v>27</v>
      </c>
      <c r="I53" s="3">
        <f t="shared" si="31"/>
        <v>225</v>
      </c>
      <c r="J53" s="3"/>
      <c r="K53" s="1">
        <f t="shared" si="32"/>
        <v>94.57778955533041</v>
      </c>
      <c r="L53" s="2">
        <v>16450</v>
      </c>
      <c r="M53" s="2">
        <f t="shared" si="20"/>
        <v>1093.0232558139535</v>
      </c>
      <c r="N53" s="1">
        <f t="shared" si="21"/>
        <v>13.18828644644245</v>
      </c>
      <c r="O53" s="3">
        <v>4960</v>
      </c>
      <c r="P53" s="1">
        <f t="shared" si="22"/>
        <v>330.6666666666667</v>
      </c>
      <c r="Q53" s="4">
        <f t="shared" si="23"/>
        <v>7.241795529554495</v>
      </c>
      <c r="R53" s="2">
        <f t="shared" si="24"/>
        <v>598.1020488369145</v>
      </c>
      <c r="S53" s="1">
        <f t="shared" si="2"/>
        <v>252.870564361932</v>
      </c>
      <c r="T53" s="8">
        <f t="shared" si="3"/>
        <v>1.739646003293849</v>
      </c>
      <c r="U53" s="8">
        <f t="shared" si="4"/>
        <v>0.7424356480093437</v>
      </c>
      <c r="V53" s="8"/>
      <c r="W53" s="1">
        <f t="shared" si="5"/>
        <v>28.125</v>
      </c>
      <c r="X53" s="4">
        <f t="shared" si="6"/>
        <v>10.818181818181818</v>
      </c>
      <c r="Y53" s="4">
        <f t="shared" si="7"/>
        <v>23.2</v>
      </c>
      <c r="Z53" s="2">
        <f t="shared" si="8"/>
        <v>217.5</v>
      </c>
      <c r="AA53" s="6">
        <f t="shared" si="9"/>
        <v>0.0045504428687888005</v>
      </c>
      <c r="AB53" s="4">
        <f t="shared" si="10"/>
        <v>1040.7375</v>
      </c>
      <c r="AC53" s="4">
        <f t="shared" si="11"/>
        <v>55.87053261557468</v>
      </c>
      <c r="AD53" s="8"/>
      <c r="AE53" s="2">
        <f t="shared" si="12"/>
        <v>2063.515408479936</v>
      </c>
      <c r="AF53" s="2">
        <f t="shared" si="25"/>
        <v>3095.2731127199045</v>
      </c>
      <c r="AG53" s="1">
        <f t="shared" si="13"/>
        <v>271.8646934460888</v>
      </c>
      <c r="AH53" s="1">
        <f t="shared" si="14"/>
        <v>407.7970401691332</v>
      </c>
      <c r="AI53" s="1">
        <f t="shared" si="15"/>
        <v>110.3435189942976</v>
      </c>
      <c r="AJ53" s="1">
        <f t="shared" si="16"/>
        <v>90.18181818181819</v>
      </c>
      <c r="AK53" s="1">
        <f t="shared" si="26"/>
        <v>165.5152784914464</v>
      </c>
      <c r="AL53" s="1">
        <f t="shared" si="27"/>
        <v>135.27272727272728</v>
      </c>
      <c r="AM53" s="1">
        <f t="shared" si="17"/>
        <v>292.24420898616694</v>
      </c>
      <c r="AN53" s="1">
        <f t="shared" si="28"/>
        <v>438.3663134792504</v>
      </c>
      <c r="AO53" s="1">
        <f t="shared" si="18"/>
        <v>831.3843876330611</v>
      </c>
      <c r="AP53" s="1">
        <f t="shared" si="29"/>
        <v>1247.0765814495917</v>
      </c>
      <c r="AQ53" s="1">
        <f t="shared" si="30"/>
        <v>1196.204097673829</v>
      </c>
      <c r="AR53" s="1">
        <f t="shared" si="19"/>
        <v>505.741128723864</v>
      </c>
    </row>
    <row r="54" spans="2:44" ht="12.75" outlineLevel="1">
      <c r="B54" s="11" t="str">
        <f t="shared" si="80"/>
        <v>HEAA340</v>
      </c>
      <c r="C54" s="12">
        <v>340</v>
      </c>
      <c r="D54" s="3">
        <v>320</v>
      </c>
      <c r="E54" s="3">
        <v>300</v>
      </c>
      <c r="F54" s="3">
        <v>8.5</v>
      </c>
      <c r="G54" s="3">
        <v>11.5</v>
      </c>
      <c r="H54" s="3">
        <v>27</v>
      </c>
      <c r="I54" s="3">
        <f t="shared" si="31"/>
        <v>243</v>
      </c>
      <c r="J54" s="3"/>
      <c r="K54" s="2">
        <f t="shared" si="32"/>
        <v>100.50278955533042</v>
      </c>
      <c r="L54" s="2">
        <v>19550</v>
      </c>
      <c r="M54" s="2">
        <f t="shared" si="20"/>
        <v>1221.875</v>
      </c>
      <c r="N54" s="1">
        <f t="shared" si="21"/>
        <v>13.947113102100154</v>
      </c>
      <c r="O54" s="3">
        <v>5180</v>
      </c>
      <c r="P54" s="1">
        <f t="shared" si="22"/>
        <v>345.3333333333333</v>
      </c>
      <c r="Q54" s="4">
        <f t="shared" si="23"/>
        <v>7.179196191044107</v>
      </c>
      <c r="R54" s="2">
        <f t="shared" si="24"/>
        <v>670.4616166368131</v>
      </c>
      <c r="S54" s="1">
        <f t="shared" si="2"/>
        <v>264.64906731193196</v>
      </c>
      <c r="T54" s="8">
        <f t="shared" si="3"/>
        <v>1.776646003293849</v>
      </c>
      <c r="U54" s="8">
        <f t="shared" si="4"/>
        <v>0.7889468980093438</v>
      </c>
      <c r="V54" s="8"/>
      <c r="W54" s="1">
        <f t="shared" si="5"/>
        <v>28.58823529411765</v>
      </c>
      <c r="X54" s="4">
        <f t="shared" si="6"/>
        <v>10.326086956521738</v>
      </c>
      <c r="Y54" s="4">
        <f t="shared" si="7"/>
        <v>26.2225</v>
      </c>
      <c r="Z54" s="2">
        <f t="shared" si="8"/>
        <v>231.375</v>
      </c>
      <c r="AA54" s="6">
        <f t="shared" si="9"/>
        <v>0.004445006618796698</v>
      </c>
      <c r="AB54" s="4">
        <f t="shared" si="10"/>
        <v>1231.290984375</v>
      </c>
      <c r="AC54" s="4">
        <f t="shared" si="11"/>
        <v>63.07246426477889</v>
      </c>
      <c r="AD54" s="8"/>
      <c r="AE54" s="2">
        <f t="shared" si="12"/>
        <v>2192.7881357526635</v>
      </c>
      <c r="AF54" s="2">
        <f t="shared" si="25"/>
        <v>3289.1822036289955</v>
      </c>
      <c r="AG54" s="1">
        <f t="shared" si="13"/>
        <v>303.9136363636364</v>
      </c>
      <c r="AH54" s="1">
        <f t="shared" si="14"/>
        <v>455.87045454545455</v>
      </c>
      <c r="AI54" s="1">
        <f t="shared" si="15"/>
        <v>115.4832293724794</v>
      </c>
      <c r="AJ54" s="1">
        <f t="shared" si="16"/>
        <v>94.18181818181816</v>
      </c>
      <c r="AK54" s="1">
        <f t="shared" si="26"/>
        <v>173.2248440587191</v>
      </c>
      <c r="AL54" s="1">
        <f t="shared" si="27"/>
        <v>141.27272727272725</v>
      </c>
      <c r="AM54" s="1">
        <f t="shared" si="17"/>
        <v>330.3178349198173</v>
      </c>
      <c r="AN54" s="1">
        <f t="shared" si="28"/>
        <v>495.47675237972595</v>
      </c>
      <c r="AO54" s="1">
        <f t="shared" si="18"/>
        <v>869.1745870709275</v>
      </c>
      <c r="AP54" s="1">
        <f t="shared" si="29"/>
        <v>1303.7618806063913</v>
      </c>
      <c r="AQ54" s="1">
        <f t="shared" si="30"/>
        <v>1340.9232332736262</v>
      </c>
      <c r="AR54" s="1">
        <f t="shared" si="19"/>
        <v>529.2981346238639</v>
      </c>
    </row>
    <row r="55" spans="2:44" ht="12.75" outlineLevel="1">
      <c r="B55" s="11" t="str">
        <f t="shared" si="80"/>
        <v>HEAA360</v>
      </c>
      <c r="C55" s="12">
        <v>360</v>
      </c>
      <c r="D55" s="3">
        <v>339</v>
      </c>
      <c r="E55" s="3">
        <v>300</v>
      </c>
      <c r="F55" s="3">
        <v>9</v>
      </c>
      <c r="G55" s="3">
        <v>12</v>
      </c>
      <c r="H55" s="3">
        <v>27</v>
      </c>
      <c r="I55" s="3">
        <f t="shared" si="31"/>
        <v>261</v>
      </c>
      <c r="J55" s="3"/>
      <c r="K55" s="2">
        <f t="shared" si="32"/>
        <v>106.60778955533041</v>
      </c>
      <c r="L55" s="2">
        <v>23040</v>
      </c>
      <c r="M55" s="2">
        <f t="shared" si="20"/>
        <v>1359.2920353982302</v>
      </c>
      <c r="N55" s="1">
        <f t="shared" si="21"/>
        <v>14.700996292646542</v>
      </c>
      <c r="O55" s="3">
        <v>5410</v>
      </c>
      <c r="P55" s="1">
        <f t="shared" si="22"/>
        <v>360.6666666666667</v>
      </c>
      <c r="Q55" s="4">
        <f t="shared" si="23"/>
        <v>7.123676076134995</v>
      </c>
      <c r="R55" s="2">
        <f t="shared" si="24"/>
        <v>747.6211844367118</v>
      </c>
      <c r="S55" s="1">
        <f t="shared" si="2"/>
        <v>276.48438276193195</v>
      </c>
      <c r="T55" s="8">
        <f t="shared" si="3"/>
        <v>1.8136460032938488</v>
      </c>
      <c r="U55" s="8">
        <f t="shared" si="4"/>
        <v>0.8368711480093438</v>
      </c>
      <c r="V55" s="8"/>
      <c r="W55" s="1">
        <f t="shared" si="5"/>
        <v>29</v>
      </c>
      <c r="X55" s="4">
        <f t="shared" si="6"/>
        <v>9.875</v>
      </c>
      <c r="Y55" s="4">
        <f t="shared" si="7"/>
        <v>29.43</v>
      </c>
      <c r="Z55" s="2">
        <f t="shared" si="8"/>
        <v>245.25</v>
      </c>
      <c r="AA55" s="6">
        <f t="shared" si="9"/>
        <v>0.004355220176349449</v>
      </c>
      <c r="AB55" s="4">
        <f t="shared" si="10"/>
        <v>1443.5415</v>
      </c>
      <c r="AC55" s="4">
        <f t="shared" si="11"/>
        <v>70.98781039006312</v>
      </c>
      <c r="AD55" s="8"/>
      <c r="AE55" s="2">
        <f t="shared" si="12"/>
        <v>2325.9881357526633</v>
      </c>
      <c r="AF55" s="2">
        <f t="shared" si="25"/>
        <v>3488.982203628995</v>
      </c>
      <c r="AG55" s="1">
        <f t="shared" si="13"/>
        <v>338.0930008045052</v>
      </c>
      <c r="AH55" s="1">
        <f t="shared" si="14"/>
        <v>507.1395012067578</v>
      </c>
      <c r="AI55" s="1">
        <f t="shared" si="15"/>
        <v>120.64773065975213</v>
      </c>
      <c r="AJ55" s="1">
        <f t="shared" si="16"/>
        <v>98.36363636363636</v>
      </c>
      <c r="AK55" s="1">
        <f t="shared" si="26"/>
        <v>180.97159598962818</v>
      </c>
      <c r="AL55" s="1">
        <f t="shared" si="27"/>
        <v>147.54545454545453</v>
      </c>
      <c r="AM55" s="1">
        <f t="shared" si="17"/>
        <v>370.72185648546946</v>
      </c>
      <c r="AN55" s="1">
        <f t="shared" si="28"/>
        <v>556.0827847282042</v>
      </c>
      <c r="AO55" s="1">
        <f t="shared" si="18"/>
        <v>906.964786508794</v>
      </c>
      <c r="AP55" s="1">
        <f t="shared" si="29"/>
        <v>1360.447179763191</v>
      </c>
      <c r="AQ55" s="1">
        <f t="shared" si="30"/>
        <v>1495.2423688734236</v>
      </c>
      <c r="AR55" s="1">
        <f t="shared" si="19"/>
        <v>552.9687655238639</v>
      </c>
    </row>
    <row r="56" spans="2:44" ht="12.75" outlineLevel="1">
      <c r="B56" s="11" t="str">
        <f t="shared" si="80"/>
        <v>HEAA400</v>
      </c>
      <c r="C56" s="12">
        <v>400</v>
      </c>
      <c r="D56" s="3">
        <v>378</v>
      </c>
      <c r="E56" s="3">
        <v>300</v>
      </c>
      <c r="F56" s="3">
        <v>9.5</v>
      </c>
      <c r="G56" s="3">
        <v>13</v>
      </c>
      <c r="H56" s="3">
        <v>27</v>
      </c>
      <c r="I56" s="3">
        <f t="shared" si="31"/>
        <v>298</v>
      </c>
      <c r="J56" s="3"/>
      <c r="K56" s="2">
        <f t="shared" si="32"/>
        <v>117.69778955533042</v>
      </c>
      <c r="L56" s="2">
        <v>31250</v>
      </c>
      <c r="M56" s="2">
        <f t="shared" si="20"/>
        <v>1653.4391534391536</v>
      </c>
      <c r="N56" s="1">
        <f t="shared" si="21"/>
        <v>16.294493207505933</v>
      </c>
      <c r="O56" s="3">
        <v>5860</v>
      </c>
      <c r="P56" s="1">
        <f t="shared" si="22"/>
        <v>390.6666666666667</v>
      </c>
      <c r="Q56" s="4">
        <f t="shared" si="23"/>
        <v>7.056098824913876</v>
      </c>
      <c r="R56" s="2">
        <f t="shared" si="24"/>
        <v>912.0675147753925</v>
      </c>
      <c r="S56" s="1">
        <f aca="true" t="shared" si="81" ref="S56:S87">((2*(E56/2*G56*E56/4))+(F56/2*(D56-2*G56)*F56/4)+(2*0.2146*H56^2*(F56/2+0.22337*H56)))*1/1000</f>
        <v>299.84422946193195</v>
      </c>
      <c r="T56" s="8">
        <f aca="true" t="shared" si="82" ref="T56:T87">(2*E56+4*G56+2*I56-4*H56/2+2*H56*PI()+2*(E56-F56-2*H56/2))/1000</f>
        <v>1.890646003293849</v>
      </c>
      <c r="U56" s="8">
        <f aca="true" t="shared" si="83" ref="U56:U87">$T$1*K56/10000</f>
        <v>0.9239276480093438</v>
      </c>
      <c r="V56" s="8"/>
      <c r="W56" s="1">
        <f aca="true" t="shared" si="84" ref="W56:W87">(D56-2*G56-2*H56)/F56</f>
        <v>31.36842105263158</v>
      </c>
      <c r="X56" s="4">
        <f aca="true" t="shared" si="85" ref="X56:X87">(E56/2-F56/2-H56)/G56</f>
        <v>9.096153846153847</v>
      </c>
      <c r="Y56" s="4">
        <f aca="true" t="shared" si="86" ref="Y56:Y87">(D56-G56)*F56/100</f>
        <v>34.675</v>
      </c>
      <c r="Z56" s="2">
        <f aca="true" t="shared" si="87" ref="Z56:Z87">0.25*(D56-G56)*E56/100</f>
        <v>273.75</v>
      </c>
      <c r="AA56" s="6">
        <f aca="true" t="shared" si="88" ref="AA56:AA87">SQRT($G$1/100*AC56/($M$1/100*AB56*10^3))</f>
        <v>0.0040946066312146775</v>
      </c>
      <c r="AB56" s="4">
        <f aca="true" t="shared" si="89" ref="AB56:AB87">G56*E56^3*(D56-G56)^2/24000000000</f>
        <v>1948.415625</v>
      </c>
      <c r="AC56" s="4">
        <f aca="true" t="shared" si="90" ref="AC56:AC87">(2/3*G56^3*(E56-0.63*G56)+F56^3/3*(D56-2*G56)+(((H56+F56/2)^2+(H56+G56)^2-H56^2)/(2*H56+G56))^4*2*F56/G56*(0.145+0.1*H56/G56))/10000</f>
        <v>84.69158298142156</v>
      </c>
      <c r="AD56" s="8"/>
      <c r="AE56" s="2">
        <f aca="true" t="shared" si="91" ref="AE56:AE87">24/$AI$1*K56</f>
        <v>2567.9517721162997</v>
      </c>
      <c r="AF56" s="2">
        <f aca="true" t="shared" si="92" ref="AF56:AF87">36/$AI$1*K56</f>
        <v>3851.92765817445</v>
      </c>
      <c r="AG56" s="1">
        <f aca="true" t="shared" si="93" ref="AG56:AG87">MAX(24/$AI$1*2*R56,1.14*24/$AI$1*M56)/100</f>
        <v>411.25541125541133</v>
      </c>
      <c r="AH56" s="1">
        <f aca="true" t="shared" si="94" ref="AH56:AH87">1.5*AG56</f>
        <v>616.883116883117</v>
      </c>
      <c r="AI56" s="1">
        <f aca="true" t="shared" si="95" ref="AI56:AI87">24/$AI$1*2*S56/100</f>
        <v>130.84111831066122</v>
      </c>
      <c r="AJ56" s="1">
        <f aca="true" t="shared" si="96" ref="AJ56:AJ87">1.25*24/$AI$1*P56/100</f>
        <v>106.54545454545455</v>
      </c>
      <c r="AK56" s="1">
        <f t="shared" si="26"/>
        <v>196.26167746599182</v>
      </c>
      <c r="AL56" s="1">
        <f t="shared" si="27"/>
        <v>159.8181818181818</v>
      </c>
      <c r="AM56" s="1">
        <f aca="true" t="shared" si="97" ref="AM56:AM87">24/(SQRT(3)*$AI$1)*(D56-G56)*F56/100</f>
        <v>436.7917218360059</v>
      </c>
      <c r="AN56" s="1">
        <f t="shared" si="28"/>
        <v>655.1875827540089</v>
      </c>
      <c r="AO56" s="1">
        <f aca="true" t="shared" si="98" ref="AO56:AO87">24/(SQRT(3)*$AI$1)*2*E56*G56/100</f>
        <v>982.5451853845267</v>
      </c>
      <c r="AP56" s="1">
        <f t="shared" si="29"/>
        <v>1473.81777807679</v>
      </c>
      <c r="AQ56" s="1">
        <f t="shared" si="30"/>
        <v>1824.135029550785</v>
      </c>
      <c r="AR56" s="1">
        <f aca="true" t="shared" si="99" ref="AR56:AR87">2*S56</f>
        <v>599.6884589238639</v>
      </c>
    </row>
    <row r="57" spans="2:44" ht="12.75" outlineLevel="1">
      <c r="B57" s="11" t="str">
        <f t="shared" si="80"/>
        <v>HEAA450</v>
      </c>
      <c r="C57" s="12">
        <v>450</v>
      </c>
      <c r="D57" s="3">
        <v>425</v>
      </c>
      <c r="E57" s="3">
        <v>300</v>
      </c>
      <c r="F57" s="3">
        <v>10</v>
      </c>
      <c r="G57" s="3">
        <v>13.5</v>
      </c>
      <c r="H57" s="3">
        <v>27</v>
      </c>
      <c r="I57" s="3">
        <f t="shared" si="31"/>
        <v>344</v>
      </c>
      <c r="J57" s="3"/>
      <c r="K57" s="2">
        <f t="shared" si="32"/>
        <v>127.05778955533042</v>
      </c>
      <c r="L57" s="2">
        <v>41890</v>
      </c>
      <c r="M57" s="2">
        <f t="shared" si="20"/>
        <v>1971.2941176470588</v>
      </c>
      <c r="N57" s="1">
        <f t="shared" si="21"/>
        <v>18.157436431746003</v>
      </c>
      <c r="O57" s="3">
        <v>6090</v>
      </c>
      <c r="P57" s="1">
        <f t="shared" si="22"/>
        <v>406</v>
      </c>
      <c r="Q57" s="4">
        <f t="shared" si="23"/>
        <v>6.923217864984336</v>
      </c>
      <c r="R57" s="2">
        <f t="shared" si="24"/>
        <v>1091.6704727640224</v>
      </c>
      <c r="S57" s="1">
        <f t="shared" si="81"/>
        <v>312.17645116193205</v>
      </c>
      <c r="T57" s="8">
        <f t="shared" si="82"/>
        <v>1.983646003293849</v>
      </c>
      <c r="U57" s="8">
        <f t="shared" si="83"/>
        <v>0.9974036480093439</v>
      </c>
      <c r="V57" s="8"/>
      <c r="W57" s="1">
        <f t="shared" si="84"/>
        <v>34.4</v>
      </c>
      <c r="X57" s="4">
        <f t="shared" si="85"/>
        <v>8.74074074074074</v>
      </c>
      <c r="Y57" s="4">
        <f t="shared" si="86"/>
        <v>41.15</v>
      </c>
      <c r="Z57" s="2">
        <f t="shared" si="87"/>
        <v>308.625</v>
      </c>
      <c r="AA57" s="6">
        <f t="shared" si="88"/>
        <v>0.0037868574062480394</v>
      </c>
      <c r="AB57" s="4">
        <f t="shared" si="89"/>
        <v>2571.733546875</v>
      </c>
      <c r="AC57" s="4">
        <f t="shared" si="90"/>
        <v>95.61326530626359</v>
      </c>
      <c r="AD57" s="8"/>
      <c r="AE57" s="2">
        <f t="shared" si="91"/>
        <v>2772.169953934482</v>
      </c>
      <c r="AF57" s="2">
        <f t="shared" si="92"/>
        <v>4158.254930901722</v>
      </c>
      <c r="AG57" s="1">
        <f t="shared" si="93"/>
        <v>490.31460962566837</v>
      </c>
      <c r="AH57" s="1">
        <f t="shared" si="94"/>
        <v>735.4719144385026</v>
      </c>
      <c r="AI57" s="1">
        <f t="shared" si="95"/>
        <v>136.2224514161158</v>
      </c>
      <c r="AJ57" s="1">
        <f t="shared" si="96"/>
        <v>110.72727272727272</v>
      </c>
      <c r="AK57" s="1">
        <f t="shared" si="26"/>
        <v>204.3336771241737</v>
      </c>
      <c r="AL57" s="1">
        <f t="shared" si="27"/>
        <v>166.09090909090907</v>
      </c>
      <c r="AM57" s="1">
        <f t="shared" si="97"/>
        <v>518.3555689560676</v>
      </c>
      <c r="AN57" s="1">
        <f t="shared" si="28"/>
        <v>777.5333534341014</v>
      </c>
      <c r="AO57" s="1">
        <f t="shared" si="98"/>
        <v>1020.335384822393</v>
      </c>
      <c r="AP57" s="1">
        <f t="shared" si="29"/>
        <v>1530.5030772335895</v>
      </c>
      <c r="AQ57" s="1">
        <f t="shared" si="30"/>
        <v>2183.340945528045</v>
      </c>
      <c r="AR57" s="1">
        <f t="shared" si="99"/>
        <v>624.3529023238641</v>
      </c>
    </row>
    <row r="58" spans="2:44" ht="12.75" outlineLevel="1">
      <c r="B58" s="11" t="str">
        <f t="shared" si="80"/>
        <v>HEAA500</v>
      </c>
      <c r="C58" s="12">
        <v>500</v>
      </c>
      <c r="D58" s="3">
        <v>472</v>
      </c>
      <c r="E58" s="3">
        <v>300</v>
      </c>
      <c r="F58" s="3">
        <v>10.5</v>
      </c>
      <c r="G58" s="3">
        <v>14</v>
      </c>
      <c r="H58" s="3">
        <v>27</v>
      </c>
      <c r="I58" s="3">
        <f t="shared" si="31"/>
        <v>390</v>
      </c>
      <c r="J58" s="3"/>
      <c r="K58" s="2">
        <f t="shared" si="32"/>
        <v>136.87778955533042</v>
      </c>
      <c r="L58" s="2">
        <v>54640</v>
      </c>
      <c r="M58" s="2">
        <f t="shared" si="20"/>
        <v>2315.2542372881353</v>
      </c>
      <c r="N58" s="1">
        <f t="shared" si="21"/>
        <v>19.97969497893553</v>
      </c>
      <c r="O58" s="3">
        <v>6310</v>
      </c>
      <c r="P58" s="1">
        <f t="shared" si="22"/>
        <v>420.6666666666667</v>
      </c>
      <c r="Q58" s="4">
        <f t="shared" si="23"/>
        <v>6.789662517269972</v>
      </c>
      <c r="R58" s="2">
        <f t="shared" si="24"/>
        <v>1288.1154307526524</v>
      </c>
      <c r="S58" s="1">
        <f t="shared" si="81"/>
        <v>324.648547861932</v>
      </c>
      <c r="T58" s="8">
        <f t="shared" si="82"/>
        <v>2.076646003293849</v>
      </c>
      <c r="U58" s="8">
        <f t="shared" si="83"/>
        <v>1.0744906480093437</v>
      </c>
      <c r="V58" s="8"/>
      <c r="W58" s="1">
        <f t="shared" si="84"/>
        <v>37.142857142857146</v>
      </c>
      <c r="X58" s="4">
        <f t="shared" si="85"/>
        <v>8.410714285714286</v>
      </c>
      <c r="Y58" s="4">
        <f t="shared" si="86"/>
        <v>48.09</v>
      </c>
      <c r="Z58" s="2">
        <f t="shared" si="87"/>
        <v>343.5</v>
      </c>
      <c r="AA58" s="6">
        <f t="shared" si="88"/>
        <v>0.003546371517573258</v>
      </c>
      <c r="AB58" s="4">
        <f t="shared" si="89"/>
        <v>3303.783</v>
      </c>
      <c r="AC58" s="4">
        <f t="shared" si="90"/>
        <v>107.7244413595506</v>
      </c>
      <c r="AD58" s="8"/>
      <c r="AE58" s="2">
        <f t="shared" si="91"/>
        <v>2986.424499389027</v>
      </c>
      <c r="AF58" s="2">
        <f t="shared" si="92"/>
        <v>4479.636749083541</v>
      </c>
      <c r="AG58" s="1">
        <f t="shared" si="93"/>
        <v>575.8668721109398</v>
      </c>
      <c r="AH58" s="1">
        <f t="shared" si="94"/>
        <v>863.8003081664096</v>
      </c>
      <c r="AI58" s="1">
        <f t="shared" si="95"/>
        <v>141.6648208852067</v>
      </c>
      <c r="AJ58" s="1">
        <f t="shared" si="96"/>
        <v>114.72727272727272</v>
      </c>
      <c r="AK58" s="1">
        <f t="shared" si="26"/>
        <v>212.49723132781003</v>
      </c>
      <c r="AL58" s="1">
        <f t="shared" si="27"/>
        <v>172.09090909090907</v>
      </c>
      <c r="AM58" s="1">
        <f t="shared" si="97"/>
        <v>605.7768969889986</v>
      </c>
      <c r="AN58" s="1">
        <f t="shared" si="28"/>
        <v>908.665345483498</v>
      </c>
      <c r="AO58" s="1">
        <f t="shared" si="98"/>
        <v>1058.1255842602595</v>
      </c>
      <c r="AP58" s="1">
        <f t="shared" si="29"/>
        <v>1587.1883763903893</v>
      </c>
      <c r="AQ58" s="1">
        <f t="shared" si="30"/>
        <v>2576.230861505305</v>
      </c>
      <c r="AR58" s="1">
        <f t="shared" si="99"/>
        <v>649.297095723864</v>
      </c>
    </row>
    <row r="59" spans="2:44" ht="12.75" outlineLevel="1">
      <c r="B59" s="11" t="str">
        <f t="shared" si="80"/>
        <v>HEAA550</v>
      </c>
      <c r="C59" s="12">
        <v>550</v>
      </c>
      <c r="D59" s="3">
        <v>522</v>
      </c>
      <c r="E59" s="3">
        <v>300</v>
      </c>
      <c r="F59" s="3">
        <v>11.5</v>
      </c>
      <c r="G59" s="3">
        <v>15</v>
      </c>
      <c r="H59" s="3">
        <v>27</v>
      </c>
      <c r="I59" s="3">
        <f t="shared" si="31"/>
        <v>438</v>
      </c>
      <c r="J59" s="3"/>
      <c r="K59" s="2">
        <f t="shared" si="32"/>
        <v>152.83778955533043</v>
      </c>
      <c r="L59" s="2">
        <v>72870</v>
      </c>
      <c r="M59" s="2">
        <f t="shared" si="20"/>
        <v>2791.9540229885056</v>
      </c>
      <c r="N59" s="1">
        <f t="shared" si="21"/>
        <v>21.835292337562887</v>
      </c>
      <c r="O59" s="3">
        <v>6770</v>
      </c>
      <c r="P59" s="1">
        <f t="shared" si="22"/>
        <v>451.3333333333333</v>
      </c>
      <c r="Q59" s="4">
        <f t="shared" si="23"/>
        <v>6.655473527459534</v>
      </c>
      <c r="R59" s="2">
        <f t="shared" si="24"/>
        <v>1563.8007782190489</v>
      </c>
      <c r="S59" s="1">
        <f t="shared" si="81"/>
        <v>349.319491261932</v>
      </c>
      <c r="T59" s="8">
        <f t="shared" si="82"/>
        <v>2.174646003293849</v>
      </c>
      <c r="U59" s="8">
        <f t="shared" si="83"/>
        <v>1.199776648009344</v>
      </c>
      <c r="V59" s="8"/>
      <c r="W59" s="1">
        <f t="shared" si="84"/>
        <v>38.08695652173913</v>
      </c>
      <c r="X59" s="4">
        <f t="shared" si="85"/>
        <v>7.816666666666666</v>
      </c>
      <c r="Y59" s="4">
        <f t="shared" si="86"/>
        <v>58.305</v>
      </c>
      <c r="Z59" s="2">
        <f t="shared" si="87"/>
        <v>380.25</v>
      </c>
      <c r="AA59" s="6">
        <f t="shared" si="88"/>
        <v>0.0034479044621982067</v>
      </c>
      <c r="AB59" s="4">
        <f t="shared" si="89"/>
        <v>4337.701875</v>
      </c>
      <c r="AC59" s="4">
        <f t="shared" si="90"/>
        <v>133.69169299449874</v>
      </c>
      <c r="AD59" s="8"/>
      <c r="AE59" s="2">
        <f t="shared" si="91"/>
        <v>3334.642681207209</v>
      </c>
      <c r="AF59" s="2">
        <f t="shared" si="92"/>
        <v>5001.964021810814</v>
      </c>
      <c r="AG59" s="1">
        <f t="shared" si="93"/>
        <v>694.4351097178683</v>
      </c>
      <c r="AH59" s="1">
        <f t="shared" si="94"/>
        <v>1041.6526645768024</v>
      </c>
      <c r="AI59" s="1">
        <f t="shared" si="95"/>
        <v>152.43032345975212</v>
      </c>
      <c r="AJ59" s="1">
        <f t="shared" si="96"/>
        <v>123.09090909090908</v>
      </c>
      <c r="AK59" s="1">
        <f t="shared" si="26"/>
        <v>228.64548518962818</v>
      </c>
      <c r="AL59" s="1">
        <f t="shared" si="27"/>
        <v>184.63636363636363</v>
      </c>
      <c r="AM59" s="1">
        <f t="shared" si="97"/>
        <v>734.4525260749338</v>
      </c>
      <c r="AN59" s="1">
        <f t="shared" si="28"/>
        <v>1101.6787891124006</v>
      </c>
      <c r="AO59" s="1">
        <f t="shared" si="98"/>
        <v>1133.7059831359925</v>
      </c>
      <c r="AP59" s="1">
        <f t="shared" si="29"/>
        <v>1700.5589747039887</v>
      </c>
      <c r="AQ59" s="1">
        <f t="shared" si="30"/>
        <v>3127.6015564380978</v>
      </c>
      <c r="AR59" s="1">
        <f t="shared" si="99"/>
        <v>698.638982523864</v>
      </c>
    </row>
    <row r="60" spans="2:44" ht="12.75" outlineLevel="1">
      <c r="B60" s="11" t="str">
        <f t="shared" si="80"/>
        <v>HEAA600</v>
      </c>
      <c r="C60" s="12">
        <v>600</v>
      </c>
      <c r="D60" s="3">
        <v>571</v>
      </c>
      <c r="E60" s="3">
        <v>300</v>
      </c>
      <c r="F60" s="3">
        <v>12</v>
      </c>
      <c r="G60" s="3">
        <v>15.5</v>
      </c>
      <c r="H60" s="3">
        <v>27</v>
      </c>
      <c r="I60" s="3">
        <f t="shared" si="31"/>
        <v>486</v>
      </c>
      <c r="J60" s="3"/>
      <c r="K60" s="2">
        <f t="shared" si="32"/>
        <v>164.05778955533043</v>
      </c>
      <c r="L60" s="2">
        <v>91870</v>
      </c>
      <c r="M60" s="2">
        <f t="shared" si="20"/>
        <v>3217.863397548161</v>
      </c>
      <c r="N60" s="1">
        <f t="shared" si="21"/>
        <v>23.66401491112478</v>
      </c>
      <c r="O60" s="3">
        <v>6990</v>
      </c>
      <c r="P60" s="1">
        <f t="shared" si="22"/>
        <v>466</v>
      </c>
      <c r="Q60" s="4">
        <f t="shared" si="23"/>
        <v>6.527398990831321</v>
      </c>
      <c r="R60" s="2">
        <f t="shared" si="24"/>
        <v>1811.5306256854456</v>
      </c>
      <c r="S60" s="1">
        <f t="shared" si="81"/>
        <v>362.234337961932</v>
      </c>
      <c r="T60" s="8">
        <f t="shared" si="82"/>
        <v>2.271646003293849</v>
      </c>
      <c r="U60" s="8">
        <f t="shared" si="83"/>
        <v>1.2878536480093439</v>
      </c>
      <c r="V60" s="8"/>
      <c r="W60" s="1">
        <f t="shared" si="84"/>
        <v>40.5</v>
      </c>
      <c r="X60" s="4">
        <f t="shared" si="85"/>
        <v>7.548387096774194</v>
      </c>
      <c r="Y60" s="4">
        <f t="shared" si="86"/>
        <v>66.66</v>
      </c>
      <c r="Z60" s="2">
        <f t="shared" si="87"/>
        <v>416.625</v>
      </c>
      <c r="AA60" s="6">
        <f t="shared" si="88"/>
        <v>0.003276947979996103</v>
      </c>
      <c r="AB60" s="4">
        <f t="shared" si="89"/>
        <v>5380.868109375</v>
      </c>
      <c r="AC60" s="4">
        <f t="shared" si="90"/>
        <v>149.80479597875893</v>
      </c>
      <c r="AD60" s="8"/>
      <c r="AE60" s="2">
        <f t="shared" si="91"/>
        <v>3579.4426812072093</v>
      </c>
      <c r="AF60" s="2">
        <f t="shared" si="92"/>
        <v>5369.164021810814</v>
      </c>
      <c r="AG60" s="1">
        <f t="shared" si="93"/>
        <v>800.3703868810699</v>
      </c>
      <c r="AH60" s="1">
        <f t="shared" si="94"/>
        <v>1200.5555803216048</v>
      </c>
      <c r="AI60" s="1">
        <f t="shared" si="95"/>
        <v>158.06589292884303</v>
      </c>
      <c r="AJ60" s="1">
        <f t="shared" si="96"/>
        <v>127.09090909090908</v>
      </c>
      <c r="AK60" s="1">
        <f t="shared" si="26"/>
        <v>237.09883939326454</v>
      </c>
      <c r="AL60" s="1">
        <f t="shared" si="27"/>
        <v>190.63636363636363</v>
      </c>
      <c r="AM60" s="1">
        <f t="shared" si="97"/>
        <v>839.6982315093916</v>
      </c>
      <c r="AN60" s="1">
        <f t="shared" si="28"/>
        <v>1259.5473472640874</v>
      </c>
      <c r="AO60" s="1">
        <f t="shared" si="98"/>
        <v>1171.4961825738587</v>
      </c>
      <c r="AP60" s="1">
        <f t="shared" si="29"/>
        <v>1757.244273860788</v>
      </c>
      <c r="AQ60" s="1">
        <f t="shared" si="30"/>
        <v>3623.061251370891</v>
      </c>
      <c r="AR60" s="1">
        <f t="shared" si="99"/>
        <v>724.468675923864</v>
      </c>
    </row>
    <row r="61" spans="2:44" ht="12.75" outlineLevel="1">
      <c r="B61" s="11" t="str">
        <f t="shared" si="80"/>
        <v>HEAA650</v>
      </c>
      <c r="C61" s="12">
        <v>650</v>
      </c>
      <c r="D61" s="3">
        <v>620</v>
      </c>
      <c r="E61" s="3">
        <v>300</v>
      </c>
      <c r="F61" s="3">
        <v>12.5</v>
      </c>
      <c r="G61" s="3">
        <v>16</v>
      </c>
      <c r="H61" s="3">
        <v>27</v>
      </c>
      <c r="I61" s="3">
        <f t="shared" si="31"/>
        <v>534</v>
      </c>
      <c r="J61" s="3"/>
      <c r="K61" s="2">
        <f t="shared" si="32"/>
        <v>175.75778955533042</v>
      </c>
      <c r="L61" s="2">
        <v>113900</v>
      </c>
      <c r="M61" s="2">
        <f t="shared" si="20"/>
        <v>3674.1935483870966</v>
      </c>
      <c r="N61" s="1">
        <f t="shared" si="21"/>
        <v>25.45684457716169</v>
      </c>
      <c r="O61" s="3">
        <v>7220</v>
      </c>
      <c r="P61" s="1">
        <f t="shared" si="22"/>
        <v>481.3333333333333</v>
      </c>
      <c r="Q61" s="4">
        <f t="shared" si="23"/>
        <v>6.409310444545257</v>
      </c>
      <c r="R61" s="2">
        <f t="shared" si="24"/>
        <v>2079.9274731518417</v>
      </c>
      <c r="S61" s="1">
        <f t="shared" si="81"/>
        <v>375.326934661932</v>
      </c>
      <c r="T61" s="8">
        <f t="shared" si="82"/>
        <v>2.368646003293849</v>
      </c>
      <c r="U61" s="8">
        <f t="shared" si="83"/>
        <v>1.3796986480093438</v>
      </c>
      <c r="V61" s="8"/>
      <c r="W61" s="1">
        <f t="shared" si="84"/>
        <v>42.72</v>
      </c>
      <c r="X61" s="4">
        <f t="shared" si="85"/>
        <v>7.296875</v>
      </c>
      <c r="Y61" s="4">
        <f t="shared" si="86"/>
        <v>75.5</v>
      </c>
      <c r="Z61" s="2">
        <f t="shared" si="87"/>
        <v>453</v>
      </c>
      <c r="AA61" s="6">
        <f t="shared" si="88"/>
        <v>0.0031370413482386585</v>
      </c>
      <c r="AB61" s="4">
        <f t="shared" si="89"/>
        <v>6566.688</v>
      </c>
      <c r="AC61" s="4">
        <f t="shared" si="90"/>
        <v>167.54101579948411</v>
      </c>
      <c r="AD61" s="8"/>
      <c r="AE61" s="2">
        <f t="shared" si="91"/>
        <v>3834.7154084799363</v>
      </c>
      <c r="AF61" s="2">
        <f t="shared" si="92"/>
        <v>5752.073112719904</v>
      </c>
      <c r="AG61" s="1">
        <f t="shared" si="93"/>
        <v>913.8721407624632</v>
      </c>
      <c r="AH61" s="1">
        <f t="shared" si="94"/>
        <v>1370.8082111436947</v>
      </c>
      <c r="AI61" s="1">
        <f t="shared" si="95"/>
        <v>163.77902603429757</v>
      </c>
      <c r="AJ61" s="1">
        <f t="shared" si="96"/>
        <v>131.27272727272725</v>
      </c>
      <c r="AK61" s="1">
        <f t="shared" si="26"/>
        <v>245.66853905144637</v>
      </c>
      <c r="AL61" s="1">
        <f t="shared" si="27"/>
        <v>196.90909090909088</v>
      </c>
      <c r="AM61" s="1">
        <f t="shared" si="97"/>
        <v>951.053352519638</v>
      </c>
      <c r="AN61" s="1">
        <f t="shared" si="28"/>
        <v>1426.580028779457</v>
      </c>
      <c r="AO61" s="1">
        <f t="shared" si="98"/>
        <v>1209.2863820117252</v>
      </c>
      <c r="AP61" s="1">
        <f t="shared" si="29"/>
        <v>1813.9295730175877</v>
      </c>
      <c r="AQ61" s="1">
        <f t="shared" si="30"/>
        <v>4159.854946303683</v>
      </c>
      <c r="AR61" s="1">
        <f t="shared" si="99"/>
        <v>750.653869323864</v>
      </c>
    </row>
    <row r="62" spans="2:44" ht="12.75" outlineLevel="1">
      <c r="B62" s="11" t="str">
        <f t="shared" si="80"/>
        <v>HEAA700</v>
      </c>
      <c r="C62" s="12">
        <v>700</v>
      </c>
      <c r="D62" s="3">
        <v>670</v>
      </c>
      <c r="E62" s="3">
        <v>300</v>
      </c>
      <c r="F62" s="3">
        <v>13</v>
      </c>
      <c r="G62" s="3">
        <v>17</v>
      </c>
      <c r="H62" s="3">
        <v>27</v>
      </c>
      <c r="I62" s="3">
        <f t="shared" si="31"/>
        <v>582</v>
      </c>
      <c r="J62" s="3"/>
      <c r="K62" s="2">
        <f t="shared" si="32"/>
        <v>190.93778955533043</v>
      </c>
      <c r="L62" s="2">
        <v>142700</v>
      </c>
      <c r="M62" s="2">
        <f t="shared" si="20"/>
        <v>4259.701492537313</v>
      </c>
      <c r="N62" s="1">
        <f t="shared" si="21"/>
        <v>27.337956069871968</v>
      </c>
      <c r="O62" s="3">
        <v>7670</v>
      </c>
      <c r="P62" s="1">
        <f t="shared" si="22"/>
        <v>511.3333333333333</v>
      </c>
      <c r="Q62" s="4">
        <f t="shared" si="23"/>
        <v>6.337992730211534</v>
      </c>
      <c r="R62" s="2">
        <f t="shared" si="24"/>
        <v>2420.0678206182383</v>
      </c>
      <c r="S62" s="1">
        <f t="shared" si="81"/>
        <v>399.856281361932</v>
      </c>
      <c r="T62" s="8">
        <f t="shared" si="82"/>
        <v>2.467646003293849</v>
      </c>
      <c r="U62" s="8">
        <f t="shared" si="83"/>
        <v>1.4988616480093437</v>
      </c>
      <c r="V62" s="8"/>
      <c r="W62" s="1">
        <f t="shared" si="84"/>
        <v>44.76923076923077</v>
      </c>
      <c r="X62" s="4">
        <f t="shared" si="85"/>
        <v>6.852941176470588</v>
      </c>
      <c r="Y62" s="4">
        <f t="shared" si="86"/>
        <v>84.89</v>
      </c>
      <c r="Z62" s="2">
        <f t="shared" si="87"/>
        <v>489.75</v>
      </c>
      <c r="AA62" s="6">
        <f t="shared" si="88"/>
        <v>0.0030381286506959886</v>
      </c>
      <c r="AB62" s="4">
        <f t="shared" si="89"/>
        <v>8155.072125</v>
      </c>
      <c r="AC62" s="4">
        <f t="shared" si="90"/>
        <v>195.1526274410351</v>
      </c>
      <c r="AD62" s="8"/>
      <c r="AE62" s="2">
        <f t="shared" si="91"/>
        <v>4165.915408479937</v>
      </c>
      <c r="AF62" s="2">
        <f t="shared" si="92"/>
        <v>6248.873112719904</v>
      </c>
      <c r="AG62" s="1">
        <f t="shared" si="93"/>
        <v>1059.5039348710989</v>
      </c>
      <c r="AH62" s="1">
        <f t="shared" si="94"/>
        <v>1589.2559023066483</v>
      </c>
      <c r="AI62" s="1">
        <f t="shared" si="95"/>
        <v>174.48274095793397</v>
      </c>
      <c r="AJ62" s="1">
        <f t="shared" si="96"/>
        <v>139.45454545454544</v>
      </c>
      <c r="AK62" s="1">
        <f t="shared" si="26"/>
        <v>261.72411143690096</v>
      </c>
      <c r="AL62" s="1">
        <f t="shared" si="27"/>
        <v>209.18181818181816</v>
      </c>
      <c r="AM62" s="1">
        <f t="shared" si="97"/>
        <v>1069.33667676016</v>
      </c>
      <c r="AN62" s="1">
        <f t="shared" si="28"/>
        <v>1604.0050151402397</v>
      </c>
      <c r="AO62" s="1">
        <f t="shared" si="98"/>
        <v>1284.866780887458</v>
      </c>
      <c r="AP62" s="1">
        <f t="shared" si="29"/>
        <v>1927.300171331187</v>
      </c>
      <c r="AQ62" s="1">
        <f t="shared" si="30"/>
        <v>4840.135641236477</v>
      </c>
      <c r="AR62" s="1">
        <f t="shared" si="99"/>
        <v>799.712562723864</v>
      </c>
    </row>
    <row r="63" spans="2:44" ht="12.75" outlineLevel="1">
      <c r="B63" s="11" t="str">
        <f t="shared" si="80"/>
        <v>HEAA800</v>
      </c>
      <c r="C63" s="12">
        <v>800</v>
      </c>
      <c r="D63" s="3">
        <v>770</v>
      </c>
      <c r="E63" s="3">
        <v>300</v>
      </c>
      <c r="F63" s="3">
        <v>14</v>
      </c>
      <c r="G63" s="3">
        <v>18</v>
      </c>
      <c r="H63" s="3">
        <v>30</v>
      </c>
      <c r="I63" s="3">
        <f t="shared" si="31"/>
        <v>674</v>
      </c>
      <c r="J63" s="3"/>
      <c r="K63" s="2">
        <f t="shared" si="32"/>
        <v>218.48566611769186</v>
      </c>
      <c r="L63" s="2">
        <v>208900</v>
      </c>
      <c r="M63" s="2">
        <f t="shared" si="20"/>
        <v>5425.974025974026</v>
      </c>
      <c r="N63" s="1">
        <f t="shared" si="21"/>
        <v>30.921300043493154</v>
      </c>
      <c r="O63" s="3">
        <v>8130</v>
      </c>
      <c r="P63" s="1">
        <f t="shared" si="22"/>
        <v>542</v>
      </c>
      <c r="Q63" s="4">
        <f t="shared" si="23"/>
        <v>6.100055659983216</v>
      </c>
      <c r="R63" s="2">
        <f t="shared" si="24"/>
        <v>3112.4004501985823</v>
      </c>
      <c r="S63" s="1">
        <f t="shared" si="81"/>
        <v>428.275460908</v>
      </c>
      <c r="T63" s="8">
        <f t="shared" si="82"/>
        <v>2.6604955592153874</v>
      </c>
      <c r="U63" s="8">
        <f t="shared" si="83"/>
        <v>1.715112479023881</v>
      </c>
      <c r="V63" s="8"/>
      <c r="W63" s="1">
        <f t="shared" si="84"/>
        <v>48.142857142857146</v>
      </c>
      <c r="X63" s="4">
        <f t="shared" si="85"/>
        <v>6.277777777777778</v>
      </c>
      <c r="Y63" s="4">
        <f t="shared" si="86"/>
        <v>105.28</v>
      </c>
      <c r="Z63" s="2">
        <f t="shared" si="87"/>
        <v>564</v>
      </c>
      <c r="AA63" s="6">
        <f t="shared" si="88"/>
        <v>0.0029411092674492363</v>
      </c>
      <c r="AB63" s="1">
        <f t="shared" si="89"/>
        <v>11451.456</v>
      </c>
      <c r="AC63" s="4">
        <f t="shared" si="90"/>
        <v>256.81317720944804</v>
      </c>
      <c r="AD63" s="8"/>
      <c r="AE63" s="2">
        <f t="shared" si="91"/>
        <v>4766.959988022368</v>
      </c>
      <c r="AF63" s="2">
        <f t="shared" si="92"/>
        <v>7150.439982033552</v>
      </c>
      <c r="AG63" s="1">
        <f t="shared" si="93"/>
        <v>1358.1383782684723</v>
      </c>
      <c r="AH63" s="1">
        <f t="shared" si="94"/>
        <v>2037.2075674027083</v>
      </c>
      <c r="AI63" s="1">
        <f t="shared" si="95"/>
        <v>186.88383748712727</v>
      </c>
      <c r="AJ63" s="1">
        <f t="shared" si="96"/>
        <v>147.8181818181818</v>
      </c>
      <c r="AK63" s="1">
        <f t="shared" si="26"/>
        <v>280.3257562306909</v>
      </c>
      <c r="AL63" s="1">
        <f t="shared" si="27"/>
        <v>221.72727272727272</v>
      </c>
      <c r="AM63" s="1">
        <f t="shared" si="97"/>
        <v>1326.1840656061918</v>
      </c>
      <c r="AN63" s="1">
        <f t="shared" si="28"/>
        <v>1989.2760984092877</v>
      </c>
      <c r="AO63" s="1">
        <f t="shared" si="98"/>
        <v>1360.447179763191</v>
      </c>
      <c r="AP63" s="1">
        <f t="shared" si="29"/>
        <v>2040.6707696447863</v>
      </c>
      <c r="AQ63" s="1">
        <f t="shared" si="30"/>
        <v>6224.800900397165</v>
      </c>
      <c r="AR63" s="1">
        <f t="shared" si="99"/>
        <v>856.550921816</v>
      </c>
    </row>
    <row r="64" spans="2:44" ht="12.75" outlineLevel="1">
      <c r="B64" s="11" t="str">
        <f t="shared" si="80"/>
        <v>HEAA900</v>
      </c>
      <c r="C64" s="12">
        <v>900</v>
      </c>
      <c r="D64" s="3">
        <v>870</v>
      </c>
      <c r="E64" s="3">
        <v>300</v>
      </c>
      <c r="F64" s="3">
        <v>15</v>
      </c>
      <c r="G64" s="3">
        <v>20</v>
      </c>
      <c r="H64" s="3">
        <v>30</v>
      </c>
      <c r="I64" s="3">
        <f t="shared" si="31"/>
        <v>770</v>
      </c>
      <c r="J64" s="3"/>
      <c r="K64" s="2">
        <f t="shared" si="32"/>
        <v>252.22566611769187</v>
      </c>
      <c r="L64" s="2">
        <v>301100</v>
      </c>
      <c r="M64" s="2">
        <f t="shared" si="20"/>
        <v>6921.83908045977</v>
      </c>
      <c r="N64" s="1">
        <f t="shared" si="21"/>
        <v>34.55100933745982</v>
      </c>
      <c r="O64" s="3">
        <v>9040</v>
      </c>
      <c r="P64" s="1">
        <f t="shared" si="22"/>
        <v>602.6666666666666</v>
      </c>
      <c r="Q64" s="4">
        <f t="shared" si="23"/>
        <v>5.986728682021386</v>
      </c>
      <c r="R64" s="2">
        <f t="shared" si="24"/>
        <v>3999.406548881043</v>
      </c>
      <c r="S64" s="1">
        <f t="shared" si="81"/>
        <v>478.82935090800004</v>
      </c>
      <c r="T64" s="8">
        <f t="shared" si="82"/>
        <v>2.8584955592153873</v>
      </c>
      <c r="U64" s="8">
        <f t="shared" si="83"/>
        <v>1.9799714790238814</v>
      </c>
      <c r="V64" s="8"/>
      <c r="W64" s="1">
        <f t="shared" si="84"/>
        <v>51.333333333333336</v>
      </c>
      <c r="X64" s="4">
        <f t="shared" si="85"/>
        <v>5.625</v>
      </c>
      <c r="Y64" s="4">
        <f t="shared" si="86"/>
        <v>127.5</v>
      </c>
      <c r="Z64" s="2">
        <f t="shared" si="87"/>
        <v>637.5</v>
      </c>
      <c r="AA64" s="6">
        <f t="shared" si="88"/>
        <v>0.0028188726431224043</v>
      </c>
      <c r="AB64" s="1">
        <f t="shared" si="89"/>
        <v>16256.25</v>
      </c>
      <c r="AC64" s="4">
        <f t="shared" si="90"/>
        <v>334.892603016356</v>
      </c>
      <c r="AD64" s="8"/>
      <c r="AE64" s="2">
        <f t="shared" si="91"/>
        <v>5503.105442567822</v>
      </c>
      <c r="AF64" s="2">
        <f t="shared" si="92"/>
        <v>8254.658163851735</v>
      </c>
      <c r="AG64" s="1">
        <f t="shared" si="93"/>
        <v>1745.1955849662731</v>
      </c>
      <c r="AH64" s="1">
        <f t="shared" si="94"/>
        <v>2617.7933774494095</v>
      </c>
      <c r="AI64" s="1">
        <f t="shared" si="95"/>
        <v>208.94371675985454</v>
      </c>
      <c r="AJ64" s="1">
        <f t="shared" si="96"/>
        <v>164.36363636363632</v>
      </c>
      <c r="AK64" s="1">
        <f t="shared" si="26"/>
        <v>313.4155751397818</v>
      </c>
      <c r="AL64" s="1">
        <f t="shared" si="27"/>
        <v>246.54545454545448</v>
      </c>
      <c r="AM64" s="1">
        <f t="shared" si="97"/>
        <v>1606.0834761093224</v>
      </c>
      <c r="AN64" s="1">
        <f t="shared" si="28"/>
        <v>2409.1252141639834</v>
      </c>
      <c r="AO64" s="1">
        <f t="shared" si="98"/>
        <v>1511.6079775146563</v>
      </c>
      <c r="AP64" s="1">
        <f t="shared" si="29"/>
        <v>2267.4119662719845</v>
      </c>
      <c r="AQ64" s="1">
        <f t="shared" si="30"/>
        <v>7998.813097762086</v>
      </c>
      <c r="AR64" s="1">
        <f t="shared" si="99"/>
        <v>957.6587018160001</v>
      </c>
    </row>
    <row r="65" spans="1:44" ht="12.75" outlineLevel="1">
      <c r="A65" s="18" t="s">
        <v>156</v>
      </c>
      <c r="B65" s="11" t="str">
        <f t="shared" si="80"/>
        <v>HEAA1000</v>
      </c>
      <c r="C65" s="12">
        <v>1000</v>
      </c>
      <c r="D65" s="3">
        <v>970</v>
      </c>
      <c r="E65" s="3">
        <v>300</v>
      </c>
      <c r="F65" s="3">
        <v>16</v>
      </c>
      <c r="G65" s="3">
        <v>21</v>
      </c>
      <c r="H65" s="3">
        <v>30</v>
      </c>
      <c r="I65" s="3">
        <f t="shared" si="31"/>
        <v>868</v>
      </c>
      <c r="J65" s="3"/>
      <c r="K65" s="2">
        <f t="shared" si="32"/>
        <v>282.20566611769186</v>
      </c>
      <c r="L65" s="2">
        <v>406500</v>
      </c>
      <c r="M65" s="2">
        <f t="shared" si="20"/>
        <v>8381.443298969072</v>
      </c>
      <c r="N65" s="1">
        <f t="shared" si="21"/>
        <v>37.953113596831784</v>
      </c>
      <c r="O65" s="3">
        <v>9500</v>
      </c>
      <c r="P65" s="1">
        <f t="shared" si="22"/>
        <v>633.3333333333334</v>
      </c>
      <c r="Q65" s="4">
        <f t="shared" si="23"/>
        <v>5.802016212542886</v>
      </c>
      <c r="R65" s="2">
        <f t="shared" si="24"/>
        <v>4888.364930869388</v>
      </c>
      <c r="S65" s="1">
        <f t="shared" si="81"/>
        <v>507.874740908</v>
      </c>
      <c r="T65" s="8">
        <f t="shared" si="82"/>
        <v>3.0564955592153873</v>
      </c>
      <c r="U65" s="8">
        <f t="shared" si="83"/>
        <v>2.215314479023881</v>
      </c>
      <c r="V65" s="8"/>
      <c r="W65" s="1">
        <f t="shared" si="84"/>
        <v>54.25</v>
      </c>
      <c r="X65" s="4">
        <f t="shared" si="85"/>
        <v>5.333333333333333</v>
      </c>
      <c r="Y65" s="4">
        <f t="shared" si="86"/>
        <v>151.84</v>
      </c>
      <c r="Z65" s="2">
        <f t="shared" si="87"/>
        <v>711.75</v>
      </c>
      <c r="AA65" s="6">
        <f t="shared" si="88"/>
        <v>0.002704410384653657</v>
      </c>
      <c r="AB65" s="1">
        <f t="shared" si="89"/>
        <v>21276.698625</v>
      </c>
      <c r="AC65" s="4">
        <f t="shared" si="90"/>
        <v>403.4444149434206</v>
      </c>
      <c r="AD65" s="8"/>
      <c r="AE65" s="2">
        <f t="shared" si="91"/>
        <v>6157.214533476913</v>
      </c>
      <c r="AF65" s="2">
        <f t="shared" si="92"/>
        <v>9235.82180021537</v>
      </c>
      <c r="AG65" s="1">
        <f t="shared" si="93"/>
        <v>2133.104697106642</v>
      </c>
      <c r="AH65" s="1">
        <f t="shared" si="94"/>
        <v>3199.657045659963</v>
      </c>
      <c r="AI65" s="1">
        <f t="shared" si="95"/>
        <v>221.6180687598545</v>
      </c>
      <c r="AJ65" s="1">
        <f t="shared" si="96"/>
        <v>172.72727272727272</v>
      </c>
      <c r="AK65" s="1">
        <f t="shared" si="26"/>
        <v>332.42710313978176</v>
      </c>
      <c r="AL65" s="1">
        <f t="shared" si="27"/>
        <v>259.09090909090907</v>
      </c>
      <c r="AM65" s="1">
        <f t="shared" si="97"/>
        <v>1912.6879608818788</v>
      </c>
      <c r="AN65" s="1">
        <f t="shared" si="28"/>
        <v>2869.031941322818</v>
      </c>
      <c r="AO65" s="1">
        <f t="shared" si="98"/>
        <v>1587.1883763903895</v>
      </c>
      <c r="AP65" s="1">
        <f t="shared" si="29"/>
        <v>2380.782564585584</v>
      </c>
      <c r="AQ65" s="1">
        <f t="shared" si="30"/>
        <v>9776.729861738777</v>
      </c>
      <c r="AR65" s="1">
        <f t="shared" si="99"/>
        <v>1015.749481816</v>
      </c>
    </row>
    <row r="66" spans="1:44" ht="12.75">
      <c r="A66" s="18" t="s">
        <v>157</v>
      </c>
      <c r="B66" s="16" t="s">
        <v>54</v>
      </c>
      <c r="C66" s="3">
        <v>100</v>
      </c>
      <c r="D66" s="3">
        <v>96</v>
      </c>
      <c r="E66" s="3">
        <v>100</v>
      </c>
      <c r="F66" s="3">
        <v>5</v>
      </c>
      <c r="G66" s="3">
        <v>8</v>
      </c>
      <c r="H66" s="3">
        <v>12</v>
      </c>
      <c r="I66" s="3">
        <f t="shared" si="31"/>
        <v>56</v>
      </c>
      <c r="J66" s="3"/>
      <c r="K66" s="1">
        <f t="shared" si="32"/>
        <v>21.2361065788307</v>
      </c>
      <c r="L66" s="3">
        <v>349</v>
      </c>
      <c r="M66" s="2">
        <f>2*L66/(D66/10)</f>
        <v>72.70833333333334</v>
      </c>
      <c r="N66" s="1">
        <f>SQRT(L66/K66)</f>
        <v>4.0539208518004735</v>
      </c>
      <c r="O66" s="3">
        <v>134</v>
      </c>
      <c r="P66" s="1">
        <f>2*O66/(E66/10)</f>
        <v>26.8</v>
      </c>
      <c r="Q66" s="4">
        <f>SQRT(O66/K66)</f>
        <v>2.5119729072832224</v>
      </c>
      <c r="R66" s="1">
        <f t="shared" si="24"/>
        <v>41.50654768175335</v>
      </c>
      <c r="S66" s="1">
        <f t="shared" si="81"/>
        <v>20.570176058112</v>
      </c>
      <c r="T66" s="8">
        <f t="shared" si="82"/>
        <v>0.561398223686155</v>
      </c>
      <c r="U66" s="8">
        <f t="shared" si="83"/>
        <v>0.16670343664382098</v>
      </c>
      <c r="V66" s="8"/>
      <c r="W66" s="1">
        <f t="shared" si="84"/>
        <v>11.2</v>
      </c>
      <c r="X66" s="4">
        <f t="shared" si="85"/>
        <v>4.4375</v>
      </c>
      <c r="Y66" s="4">
        <f t="shared" si="86"/>
        <v>4.4</v>
      </c>
      <c r="Z66" s="2">
        <f t="shared" si="87"/>
        <v>22</v>
      </c>
      <c r="AA66" s="6">
        <f t="shared" si="88"/>
        <v>0.02797262495132688</v>
      </c>
      <c r="AB66" s="1">
        <f t="shared" si="89"/>
        <v>2.5813333333333333</v>
      </c>
      <c r="AC66" s="4">
        <f t="shared" si="90"/>
        <v>5.236544643377407</v>
      </c>
      <c r="AD66" s="8"/>
      <c r="AE66" s="2">
        <f t="shared" si="91"/>
        <v>463.33323444721526</v>
      </c>
      <c r="AF66" s="2">
        <f t="shared" si="92"/>
        <v>694.9998516708229</v>
      </c>
      <c r="AG66" s="1">
        <f t="shared" si="93"/>
        <v>18.11194807931055</v>
      </c>
      <c r="AH66" s="1">
        <f t="shared" si="94"/>
        <v>27.167922118965826</v>
      </c>
      <c r="AI66" s="1">
        <f t="shared" si="95"/>
        <v>8.976076825357964</v>
      </c>
      <c r="AJ66" s="1">
        <f t="shared" si="96"/>
        <v>7.309090909090909</v>
      </c>
      <c r="AK66" s="1">
        <f t="shared" si="26"/>
        <v>13.464115238036946</v>
      </c>
      <c r="AL66" s="1">
        <f t="shared" si="27"/>
        <v>10.963636363636363</v>
      </c>
      <c r="AM66" s="1">
        <f t="shared" si="97"/>
        <v>55.42562584220406</v>
      </c>
      <c r="AN66" s="1">
        <f t="shared" si="28"/>
        <v>83.1384387633061</v>
      </c>
      <c r="AO66" s="1">
        <f t="shared" si="98"/>
        <v>201.54773033528753</v>
      </c>
      <c r="AP66" s="1">
        <f t="shared" si="29"/>
        <v>302.3215955029313</v>
      </c>
      <c r="AQ66" s="1">
        <f t="shared" si="30"/>
        <v>83.0130953635067</v>
      </c>
      <c r="AR66" s="1">
        <f t="shared" si="99"/>
        <v>41.140352116224</v>
      </c>
    </row>
    <row r="67" spans="2:44" ht="12.75" outlineLevel="1">
      <c r="B67" s="11" t="s">
        <v>55</v>
      </c>
      <c r="C67" s="3">
        <v>120</v>
      </c>
      <c r="D67" s="3">
        <v>114</v>
      </c>
      <c r="E67" s="3">
        <v>120</v>
      </c>
      <c r="F67" s="3">
        <v>5</v>
      </c>
      <c r="G67" s="3">
        <v>8</v>
      </c>
      <c r="H67" s="3">
        <v>12</v>
      </c>
      <c r="I67" s="3">
        <f t="shared" si="31"/>
        <v>74</v>
      </c>
      <c r="J67" s="3"/>
      <c r="K67" s="1">
        <f t="shared" si="32"/>
        <v>25.336106578830698</v>
      </c>
      <c r="L67" s="3">
        <v>606</v>
      </c>
      <c r="M67" s="2">
        <f>2*L67/(D67/10)</f>
        <v>106.3157894736842</v>
      </c>
      <c r="N67" s="1">
        <f>SQRT(L67/K67)</f>
        <v>4.89064763353367</v>
      </c>
      <c r="O67" s="3">
        <v>231</v>
      </c>
      <c r="P67" s="1">
        <f>2*O67/(E67/10)</f>
        <v>38.5</v>
      </c>
      <c r="Q67" s="4">
        <f>SQRT(O67/K67)</f>
        <v>3.0195070734080023</v>
      </c>
      <c r="R67" s="1">
        <f t="shared" si="24"/>
        <v>59.74529564222716</v>
      </c>
      <c r="S67" s="1">
        <f t="shared" si="81"/>
        <v>29.426426058112</v>
      </c>
      <c r="T67" s="8">
        <f t="shared" si="82"/>
        <v>0.677398223686155</v>
      </c>
      <c r="U67" s="8">
        <f t="shared" si="83"/>
        <v>0.19888843664382097</v>
      </c>
      <c r="V67" s="8"/>
      <c r="W67" s="1">
        <f t="shared" si="84"/>
        <v>14.8</v>
      </c>
      <c r="X67" s="4">
        <f t="shared" si="85"/>
        <v>5.6875</v>
      </c>
      <c r="Y67" s="4">
        <f t="shared" si="86"/>
        <v>5.3</v>
      </c>
      <c r="Z67" s="2">
        <f t="shared" si="87"/>
        <v>31.8</v>
      </c>
      <c r="AA67" s="6">
        <f t="shared" si="88"/>
        <v>0.01890086932282254</v>
      </c>
      <c r="AB67" s="1">
        <f t="shared" si="89"/>
        <v>6.471936</v>
      </c>
      <c r="AC67" s="4">
        <f t="shared" si="90"/>
        <v>5.994211310044074</v>
      </c>
      <c r="AD67" s="8"/>
      <c r="AE67" s="2">
        <f t="shared" si="91"/>
        <v>552.7877799017607</v>
      </c>
      <c r="AF67" s="2">
        <f t="shared" si="92"/>
        <v>829.181669852641</v>
      </c>
      <c r="AG67" s="1">
        <f t="shared" si="93"/>
        <v>26.44363636363636</v>
      </c>
      <c r="AH67" s="1">
        <f t="shared" si="94"/>
        <v>39.665454545454544</v>
      </c>
      <c r="AI67" s="1">
        <f t="shared" si="95"/>
        <v>12.840622279903416</v>
      </c>
      <c r="AJ67" s="1">
        <f t="shared" si="96"/>
        <v>10.5</v>
      </c>
      <c r="AK67" s="1">
        <f t="shared" si="26"/>
        <v>19.260933419855125</v>
      </c>
      <c r="AL67" s="1">
        <f t="shared" si="27"/>
        <v>15.75</v>
      </c>
      <c r="AM67" s="1">
        <f t="shared" si="97"/>
        <v>66.762685673564</v>
      </c>
      <c r="AN67" s="1">
        <f t="shared" si="28"/>
        <v>100.14402851034599</v>
      </c>
      <c r="AO67" s="1">
        <f t="shared" si="98"/>
        <v>241.857276402345</v>
      </c>
      <c r="AP67" s="1">
        <f t="shared" si="29"/>
        <v>362.78591460351754</v>
      </c>
      <c r="AQ67" s="1">
        <f t="shared" si="30"/>
        <v>119.49059128445433</v>
      </c>
      <c r="AR67" s="1">
        <f t="shared" si="99"/>
        <v>58.852852116224</v>
      </c>
    </row>
    <row r="68" spans="2:44" ht="12.75" outlineLevel="1">
      <c r="B68" s="11" t="s">
        <v>56</v>
      </c>
      <c r="C68" s="3">
        <v>140</v>
      </c>
      <c r="D68" s="3">
        <v>133</v>
      </c>
      <c r="E68" s="3">
        <v>140</v>
      </c>
      <c r="F68" s="3">
        <v>5.5</v>
      </c>
      <c r="G68" s="3">
        <v>8.5</v>
      </c>
      <c r="H68" s="3">
        <v>12</v>
      </c>
      <c r="I68" s="3">
        <f t="shared" si="31"/>
        <v>92</v>
      </c>
      <c r="J68" s="3"/>
      <c r="K68" s="1">
        <f t="shared" si="32"/>
        <v>31.4161065788307</v>
      </c>
      <c r="L68" s="3">
        <v>1030</v>
      </c>
      <c r="M68" s="2">
        <f>2*L68/(D68/10)</f>
        <v>154.88721804511277</v>
      </c>
      <c r="N68" s="1">
        <f>SQRT(L68/K68)</f>
        <v>5.725882498246692</v>
      </c>
      <c r="O68" s="3">
        <v>389</v>
      </c>
      <c r="P68" s="1">
        <f>2*O68/(E68/10)</f>
        <v>55.57142857142857</v>
      </c>
      <c r="Q68" s="4">
        <f>SQRT(O68/K68)</f>
        <v>3.5188327057337996</v>
      </c>
      <c r="R68" s="1">
        <f t="shared" si="24"/>
        <v>86.74754360270097</v>
      </c>
      <c r="S68" s="1">
        <f t="shared" si="81"/>
        <v>42.424252258112</v>
      </c>
      <c r="T68" s="8">
        <f t="shared" si="82"/>
        <v>0.794398223686155</v>
      </c>
      <c r="U68" s="8">
        <f t="shared" si="83"/>
        <v>0.246616436643821</v>
      </c>
      <c r="V68" s="8"/>
      <c r="W68" s="1">
        <f t="shared" si="84"/>
        <v>16.727272727272727</v>
      </c>
      <c r="X68" s="4">
        <f t="shared" si="85"/>
        <v>6.5</v>
      </c>
      <c r="Y68" s="4">
        <f t="shared" si="86"/>
        <v>6.8475</v>
      </c>
      <c r="Z68" s="2">
        <f t="shared" si="87"/>
        <v>43.575</v>
      </c>
      <c r="AA68" s="6">
        <f t="shared" si="88"/>
        <v>0.014428043011720426</v>
      </c>
      <c r="AB68" s="1">
        <f t="shared" si="89"/>
        <v>15.063659625</v>
      </c>
      <c r="AC68" s="4">
        <f t="shared" si="90"/>
        <v>8.129795595451148</v>
      </c>
      <c r="AD68" s="8"/>
      <c r="AE68" s="2">
        <f t="shared" si="91"/>
        <v>685.4423253563061</v>
      </c>
      <c r="AF68" s="2">
        <f t="shared" si="92"/>
        <v>1028.1634880344593</v>
      </c>
      <c r="AG68" s="1">
        <f t="shared" si="93"/>
        <v>38.52467532467532</v>
      </c>
      <c r="AH68" s="1">
        <f t="shared" si="94"/>
        <v>57.787012987012986</v>
      </c>
      <c r="AI68" s="1">
        <f t="shared" si="95"/>
        <v>18.51240098535796</v>
      </c>
      <c r="AJ68" s="1">
        <f t="shared" si="96"/>
        <v>15.155844155844154</v>
      </c>
      <c r="AK68" s="1">
        <f t="shared" si="26"/>
        <v>27.768601478036942</v>
      </c>
      <c r="AL68" s="1">
        <f t="shared" si="27"/>
        <v>22.733766233766232</v>
      </c>
      <c r="AM68" s="1">
        <f t="shared" si="97"/>
        <v>86.25613021693009</v>
      </c>
      <c r="AN68" s="1">
        <f t="shared" si="28"/>
        <v>129.38419532539513</v>
      </c>
      <c r="AO68" s="1">
        <f t="shared" si="98"/>
        <v>299.8022488737402</v>
      </c>
      <c r="AP68" s="1">
        <f t="shared" si="29"/>
        <v>449.70337331061035</v>
      </c>
      <c r="AQ68" s="1">
        <f t="shared" si="30"/>
        <v>173.49508720540194</v>
      </c>
      <c r="AR68" s="1">
        <f t="shared" si="99"/>
        <v>84.848504516224</v>
      </c>
    </row>
    <row r="69" spans="2:44" ht="12.75" outlineLevel="1">
      <c r="B69" s="11" t="s">
        <v>57</v>
      </c>
      <c r="C69" s="3">
        <v>160</v>
      </c>
      <c r="D69" s="3">
        <v>152</v>
      </c>
      <c r="E69" s="3">
        <v>160</v>
      </c>
      <c r="F69" s="3">
        <v>6</v>
      </c>
      <c r="G69" s="3">
        <v>9</v>
      </c>
      <c r="H69" s="3">
        <v>15</v>
      </c>
      <c r="I69" s="3">
        <f t="shared" si="31"/>
        <v>104</v>
      </c>
      <c r="J69" s="3"/>
      <c r="K69" s="1">
        <f t="shared" si="32"/>
        <v>38.771416529422964</v>
      </c>
      <c r="L69" s="3">
        <v>1670</v>
      </c>
      <c r="M69" s="2">
        <f aca="true" t="shared" si="100" ref="M69:M91">2*L69/(D69/10)</f>
        <v>219.73684210526318</v>
      </c>
      <c r="N69" s="1">
        <f aca="true" t="shared" si="101" ref="N69:N91">SQRT(L69/K69)</f>
        <v>6.562999956263848</v>
      </c>
      <c r="O69" s="3">
        <v>616</v>
      </c>
      <c r="P69" s="1">
        <f aca="true" t="shared" si="102" ref="P69:P91">2*O69/(E69/10)</f>
        <v>77</v>
      </c>
      <c r="Q69" s="4">
        <f aca="true" t="shared" si="103" ref="Q69:Q91">SQRT(O69/K69)</f>
        <v>3.985974553849021</v>
      </c>
      <c r="R69" s="1">
        <f t="shared" si="24"/>
        <v>122.57367999093404</v>
      </c>
      <c r="S69" s="1">
        <f t="shared" si="81"/>
        <v>58.8162726135</v>
      </c>
      <c r="T69" s="8">
        <f t="shared" si="82"/>
        <v>0.9062477796076938</v>
      </c>
      <c r="U69" s="8">
        <f t="shared" si="83"/>
        <v>0.3043556197559703</v>
      </c>
      <c r="V69" s="8"/>
      <c r="W69" s="1">
        <f t="shared" si="84"/>
        <v>17.333333333333332</v>
      </c>
      <c r="X69" s="4">
        <f t="shared" si="85"/>
        <v>6.888888888888889</v>
      </c>
      <c r="Y69" s="4">
        <f t="shared" si="86"/>
        <v>8.58</v>
      </c>
      <c r="Z69" s="2">
        <f t="shared" si="87"/>
        <v>57.2</v>
      </c>
      <c r="AA69" s="6">
        <f t="shared" si="88"/>
        <v>0.012237072609910457</v>
      </c>
      <c r="AB69" s="1">
        <f t="shared" si="89"/>
        <v>31.409664</v>
      </c>
      <c r="AC69" s="4">
        <f t="shared" si="90"/>
        <v>12.194181095479848</v>
      </c>
      <c r="AD69" s="8"/>
      <c r="AE69" s="2">
        <f t="shared" si="91"/>
        <v>845.9218151874101</v>
      </c>
      <c r="AF69" s="2">
        <f t="shared" si="92"/>
        <v>1268.8827227811153</v>
      </c>
      <c r="AG69" s="1">
        <f t="shared" si="93"/>
        <v>54.654545454545456</v>
      </c>
      <c r="AH69" s="1">
        <f t="shared" si="94"/>
        <v>81.98181818181818</v>
      </c>
      <c r="AI69" s="1">
        <f t="shared" si="95"/>
        <v>25.665282594981814</v>
      </c>
      <c r="AJ69" s="1">
        <f t="shared" si="96"/>
        <v>21</v>
      </c>
      <c r="AK69" s="1">
        <f t="shared" si="26"/>
        <v>38.49792389247272</v>
      </c>
      <c r="AL69" s="1">
        <f t="shared" si="27"/>
        <v>31.5</v>
      </c>
      <c r="AM69" s="1">
        <f t="shared" si="97"/>
        <v>108.07997039229795</v>
      </c>
      <c r="AN69" s="1">
        <f t="shared" si="28"/>
        <v>162.11995558844694</v>
      </c>
      <c r="AO69" s="1">
        <f t="shared" si="98"/>
        <v>362.78591460351754</v>
      </c>
      <c r="AP69" s="1">
        <f t="shared" si="29"/>
        <v>544.1788719052763</v>
      </c>
      <c r="AQ69" s="1">
        <f t="shared" si="30"/>
        <v>245.14735998186808</v>
      </c>
      <c r="AR69" s="1">
        <f t="shared" si="99"/>
        <v>117.632545227</v>
      </c>
    </row>
    <row r="70" spans="2:44" ht="12.75" outlineLevel="1">
      <c r="B70" s="11" t="s">
        <v>58</v>
      </c>
      <c r="C70" s="3">
        <v>180</v>
      </c>
      <c r="D70" s="3">
        <v>171</v>
      </c>
      <c r="E70" s="3">
        <v>180</v>
      </c>
      <c r="F70" s="3">
        <v>6</v>
      </c>
      <c r="G70" s="3">
        <v>9.5</v>
      </c>
      <c r="H70" s="3">
        <v>15</v>
      </c>
      <c r="I70" s="3">
        <f t="shared" si="31"/>
        <v>122</v>
      </c>
      <c r="J70" s="3"/>
      <c r="K70" s="1">
        <f t="shared" si="32"/>
        <v>45.25141652942297</v>
      </c>
      <c r="L70" s="3">
        <v>2510</v>
      </c>
      <c r="M70" s="2">
        <f t="shared" si="100"/>
        <v>293.5672514619883</v>
      </c>
      <c r="N70" s="1">
        <f t="shared" si="101"/>
        <v>7.447675937132271</v>
      </c>
      <c r="O70" s="3">
        <v>925</v>
      </c>
      <c r="P70" s="1">
        <f t="shared" si="102"/>
        <v>102.77777777777777</v>
      </c>
      <c r="Q70" s="4">
        <f t="shared" si="103"/>
        <v>4.521211015171116</v>
      </c>
      <c r="R70" s="1">
        <f t="shared" si="24"/>
        <v>162.4263174291744</v>
      </c>
      <c r="S70" s="1">
        <f t="shared" si="81"/>
        <v>78.2472726135</v>
      </c>
      <c r="T70" s="8">
        <f t="shared" si="82"/>
        <v>1.0242477796076936</v>
      </c>
      <c r="U70" s="8">
        <f t="shared" si="83"/>
        <v>0.35522361975597033</v>
      </c>
      <c r="V70" s="8"/>
      <c r="W70" s="1">
        <f t="shared" si="84"/>
        <v>20.333333333333332</v>
      </c>
      <c r="X70" s="4">
        <f t="shared" si="85"/>
        <v>7.578947368421052</v>
      </c>
      <c r="Y70" s="4">
        <f t="shared" si="86"/>
        <v>9.69</v>
      </c>
      <c r="Z70" s="2">
        <f t="shared" si="87"/>
        <v>72.675</v>
      </c>
      <c r="AA70" s="6">
        <f t="shared" si="88"/>
        <v>0.00973644441958229</v>
      </c>
      <c r="AB70" s="1">
        <f t="shared" si="89"/>
        <v>60.210874125</v>
      </c>
      <c r="AC70" s="4">
        <f t="shared" si="90"/>
        <v>14.798237261710057</v>
      </c>
      <c r="AD70" s="8"/>
      <c r="AE70" s="2">
        <f t="shared" si="91"/>
        <v>987.3036333692284</v>
      </c>
      <c r="AF70" s="2">
        <f t="shared" si="92"/>
        <v>1480.9554500538425</v>
      </c>
      <c r="AG70" s="1">
        <f t="shared" si="93"/>
        <v>73.01818181818182</v>
      </c>
      <c r="AH70" s="1">
        <f t="shared" si="94"/>
        <v>109.52727272727273</v>
      </c>
      <c r="AI70" s="1">
        <f t="shared" si="95"/>
        <v>34.14426441316363</v>
      </c>
      <c r="AJ70" s="1">
        <f t="shared" si="96"/>
        <v>28.030303030303024</v>
      </c>
      <c r="AK70" s="1">
        <f t="shared" si="26"/>
        <v>51.21639661974545</v>
      </c>
      <c r="AL70" s="1">
        <f t="shared" si="27"/>
        <v>42.04545454545453</v>
      </c>
      <c r="AM70" s="1">
        <f t="shared" si="97"/>
        <v>122.06234418430851</v>
      </c>
      <c r="AN70" s="1">
        <f t="shared" si="28"/>
        <v>183.09351627646276</v>
      </c>
      <c r="AO70" s="1">
        <f t="shared" si="98"/>
        <v>430.80827359167705</v>
      </c>
      <c r="AP70" s="1">
        <f t="shared" si="29"/>
        <v>646.2124103875155</v>
      </c>
      <c r="AQ70" s="1">
        <f t="shared" si="30"/>
        <v>324.8526348583488</v>
      </c>
      <c r="AR70" s="1">
        <f t="shared" si="99"/>
        <v>156.494545227</v>
      </c>
    </row>
    <row r="71" spans="2:44" ht="12.75" outlineLevel="1">
      <c r="B71" s="11" t="s">
        <v>59</v>
      </c>
      <c r="C71" s="3">
        <v>200</v>
      </c>
      <c r="D71" s="3">
        <v>190</v>
      </c>
      <c r="E71" s="3">
        <v>200</v>
      </c>
      <c r="F71" s="3">
        <v>6.5</v>
      </c>
      <c r="G71" s="3">
        <v>10</v>
      </c>
      <c r="H71" s="3">
        <v>18</v>
      </c>
      <c r="I71" s="3">
        <f t="shared" si="31"/>
        <v>134</v>
      </c>
      <c r="J71" s="3"/>
      <c r="K71" s="1">
        <f t="shared" si="32"/>
        <v>53.831239802369076</v>
      </c>
      <c r="L71" s="3">
        <v>3690</v>
      </c>
      <c r="M71" s="2">
        <f t="shared" si="100"/>
        <v>388.42105263157896</v>
      </c>
      <c r="N71" s="1">
        <f t="shared" si="101"/>
        <v>8.279345227435412</v>
      </c>
      <c r="O71" s="3">
        <v>1340</v>
      </c>
      <c r="P71" s="1">
        <f t="shared" si="102"/>
        <v>134</v>
      </c>
      <c r="Q71" s="4">
        <f t="shared" si="103"/>
        <v>4.989249334171462</v>
      </c>
      <c r="R71" s="1">
        <f t="shared" si="24"/>
        <v>214.7423981788789</v>
      </c>
      <c r="S71" s="1">
        <f t="shared" si="81"/>
        <v>101.908876296128</v>
      </c>
      <c r="T71" s="8">
        <f t="shared" si="82"/>
        <v>1.1360973355292325</v>
      </c>
      <c r="U71" s="8">
        <f t="shared" si="83"/>
        <v>0.42257523244859724</v>
      </c>
      <c r="V71" s="8"/>
      <c r="W71" s="1">
        <f t="shared" si="84"/>
        <v>20.615384615384617</v>
      </c>
      <c r="X71" s="4">
        <f t="shared" si="85"/>
        <v>7.875</v>
      </c>
      <c r="Y71" s="4">
        <f t="shared" si="86"/>
        <v>11.7</v>
      </c>
      <c r="Z71" s="2">
        <f t="shared" si="87"/>
        <v>90</v>
      </c>
      <c r="AA71" s="6">
        <f t="shared" si="88"/>
        <v>0.008657148833836925</v>
      </c>
      <c r="AB71" s="1">
        <f t="shared" si="89"/>
        <v>108</v>
      </c>
      <c r="AC71" s="4">
        <f t="shared" si="90"/>
        <v>20.984943260737126</v>
      </c>
      <c r="AD71" s="8"/>
      <c r="AE71" s="2">
        <f t="shared" si="91"/>
        <v>1174.4997775062343</v>
      </c>
      <c r="AF71" s="2">
        <f t="shared" si="92"/>
        <v>1761.7496662593514</v>
      </c>
      <c r="AG71" s="1">
        <f t="shared" si="93"/>
        <v>96.61090909090908</v>
      </c>
      <c r="AH71" s="1">
        <f t="shared" si="94"/>
        <v>144.9163636363636</v>
      </c>
      <c r="AI71" s="1">
        <f t="shared" si="95"/>
        <v>44.4693278383104</v>
      </c>
      <c r="AJ71" s="1">
        <f t="shared" si="96"/>
        <v>36.54545454545454</v>
      </c>
      <c r="AK71" s="1">
        <f t="shared" si="26"/>
        <v>66.7039917574656</v>
      </c>
      <c r="AL71" s="1">
        <f t="shared" si="27"/>
        <v>54.81818181818181</v>
      </c>
      <c r="AM71" s="1">
        <f t="shared" si="97"/>
        <v>147.381777807679</v>
      </c>
      <c r="AN71" s="1">
        <f t="shared" si="28"/>
        <v>221.07266671151848</v>
      </c>
      <c r="AO71" s="1">
        <f t="shared" si="98"/>
        <v>503.8693258382188</v>
      </c>
      <c r="AP71" s="1">
        <f t="shared" si="29"/>
        <v>755.8039887573282</v>
      </c>
      <c r="AQ71" s="1">
        <f t="shared" si="30"/>
        <v>429.4847963577578</v>
      </c>
      <c r="AR71" s="1">
        <f t="shared" si="99"/>
        <v>203.817752592256</v>
      </c>
    </row>
    <row r="72" spans="2:44" ht="12.75" outlineLevel="1">
      <c r="B72" s="11" t="s">
        <v>60</v>
      </c>
      <c r="C72" s="3">
        <v>220</v>
      </c>
      <c r="D72" s="3">
        <v>210</v>
      </c>
      <c r="E72" s="3">
        <v>220</v>
      </c>
      <c r="F72" s="3">
        <v>7</v>
      </c>
      <c r="G72" s="3">
        <v>11</v>
      </c>
      <c r="H72" s="3">
        <v>18</v>
      </c>
      <c r="I72" s="3">
        <f t="shared" si="31"/>
        <v>152</v>
      </c>
      <c r="J72" s="3"/>
      <c r="K72" s="1">
        <f t="shared" si="32"/>
        <v>64.34123980236907</v>
      </c>
      <c r="L72" s="3">
        <v>5410</v>
      </c>
      <c r="M72" s="2">
        <f t="shared" si="100"/>
        <v>515.2380952380952</v>
      </c>
      <c r="N72" s="1">
        <f t="shared" si="101"/>
        <v>9.169674508080337</v>
      </c>
      <c r="O72" s="3">
        <v>1950</v>
      </c>
      <c r="P72" s="1">
        <f t="shared" si="102"/>
        <v>177.27272727272728</v>
      </c>
      <c r="Q72" s="4">
        <f t="shared" si="103"/>
        <v>5.505193559314806</v>
      </c>
      <c r="R72" s="1">
        <f t="shared" si="24"/>
        <v>284.228706089945</v>
      </c>
      <c r="S72" s="1">
        <f t="shared" si="81"/>
        <v>135.297328996128</v>
      </c>
      <c r="T72" s="8">
        <f t="shared" si="82"/>
        <v>1.2550973355292325</v>
      </c>
      <c r="U72" s="8">
        <f t="shared" si="83"/>
        <v>0.5050787324485972</v>
      </c>
      <c r="V72" s="8"/>
      <c r="W72" s="1">
        <f t="shared" si="84"/>
        <v>21.714285714285715</v>
      </c>
      <c r="X72" s="4">
        <f t="shared" si="85"/>
        <v>8.045454545454545</v>
      </c>
      <c r="Y72" s="4">
        <f t="shared" si="86"/>
        <v>13.93</v>
      </c>
      <c r="Z72" s="2">
        <f t="shared" si="87"/>
        <v>109.45</v>
      </c>
      <c r="AA72" s="6">
        <f t="shared" si="88"/>
        <v>0.007536304073645665</v>
      </c>
      <c r="AB72" s="1">
        <f t="shared" si="89"/>
        <v>193.26608033333332</v>
      </c>
      <c r="AC72" s="4">
        <f t="shared" si="90"/>
        <v>28.458155006028882</v>
      </c>
      <c r="AD72" s="8"/>
      <c r="AE72" s="2">
        <f t="shared" si="91"/>
        <v>1403.8088684153252</v>
      </c>
      <c r="AF72" s="2">
        <f t="shared" si="92"/>
        <v>2105.7133026229876</v>
      </c>
      <c r="AG72" s="1">
        <f t="shared" si="93"/>
        <v>128.15376623376622</v>
      </c>
      <c r="AH72" s="1">
        <f t="shared" si="94"/>
        <v>192.23064935064934</v>
      </c>
      <c r="AI72" s="1">
        <f t="shared" si="95"/>
        <v>59.03883447103766</v>
      </c>
      <c r="AJ72" s="1">
        <f t="shared" si="96"/>
        <v>48.34710743801653</v>
      </c>
      <c r="AK72" s="1">
        <f t="shared" si="26"/>
        <v>88.55825170655649</v>
      </c>
      <c r="AL72" s="1">
        <f t="shared" si="27"/>
        <v>72.52066115702479</v>
      </c>
      <c r="AM72" s="1">
        <f t="shared" si="97"/>
        <v>175.4724927231597</v>
      </c>
      <c r="AN72" s="1">
        <f t="shared" si="28"/>
        <v>263.20873908473953</v>
      </c>
      <c r="AO72" s="1">
        <f t="shared" si="98"/>
        <v>609.6818842642448</v>
      </c>
      <c r="AP72" s="1">
        <f t="shared" si="29"/>
        <v>914.5228263963672</v>
      </c>
      <c r="AQ72" s="1">
        <f t="shared" si="30"/>
        <v>568.45741217989</v>
      </c>
      <c r="AR72" s="1">
        <f t="shared" si="99"/>
        <v>270.594657992256</v>
      </c>
    </row>
    <row r="73" spans="2:44" ht="12.75" outlineLevel="1">
      <c r="B73" s="11" t="s">
        <v>61</v>
      </c>
      <c r="C73" s="3">
        <v>240</v>
      </c>
      <c r="D73" s="3">
        <v>230</v>
      </c>
      <c r="E73" s="3">
        <v>240</v>
      </c>
      <c r="F73" s="3">
        <v>7.5</v>
      </c>
      <c r="G73" s="3">
        <v>12</v>
      </c>
      <c r="H73" s="3">
        <v>21</v>
      </c>
      <c r="I73" s="3">
        <f t="shared" si="31"/>
        <v>164</v>
      </c>
      <c r="J73" s="3"/>
      <c r="K73" s="1">
        <f t="shared" si="32"/>
        <v>76.83557639766902</v>
      </c>
      <c r="L73" s="3">
        <v>7760</v>
      </c>
      <c r="M73" s="2">
        <f t="shared" si="100"/>
        <v>674.7826086956521</v>
      </c>
      <c r="N73" s="1">
        <f t="shared" si="101"/>
        <v>10.049621006213112</v>
      </c>
      <c r="O73" s="3">
        <v>2770</v>
      </c>
      <c r="P73" s="1">
        <f t="shared" si="102"/>
        <v>230.83333333333334</v>
      </c>
      <c r="Q73" s="4">
        <f t="shared" si="103"/>
        <v>6.004249184381368</v>
      </c>
      <c r="R73" s="1">
        <f t="shared" si="24"/>
        <v>372.31160503805074</v>
      </c>
      <c r="S73" s="1">
        <f t="shared" si="81"/>
        <v>175.846082811444</v>
      </c>
      <c r="T73" s="8">
        <f t="shared" si="82"/>
        <v>1.3689468914507714</v>
      </c>
      <c r="U73" s="8">
        <f t="shared" si="83"/>
        <v>0.6031592747217018</v>
      </c>
      <c r="V73" s="8"/>
      <c r="W73" s="1">
        <f t="shared" si="84"/>
        <v>21.866666666666667</v>
      </c>
      <c r="X73" s="4">
        <f t="shared" si="85"/>
        <v>7.9375</v>
      </c>
      <c r="Y73" s="4">
        <f t="shared" si="86"/>
        <v>16.35</v>
      </c>
      <c r="Z73" s="2">
        <f t="shared" si="87"/>
        <v>130.8</v>
      </c>
      <c r="AA73" s="6">
        <f t="shared" si="88"/>
        <v>0.006985060259389745</v>
      </c>
      <c r="AB73" s="1">
        <f t="shared" si="89"/>
        <v>328.485888</v>
      </c>
      <c r="AC73" s="4">
        <f t="shared" si="90"/>
        <v>41.55194014542389</v>
      </c>
      <c r="AD73" s="8"/>
      <c r="AE73" s="2">
        <f t="shared" si="91"/>
        <v>1676.4125759491421</v>
      </c>
      <c r="AF73" s="2">
        <f t="shared" si="92"/>
        <v>2514.618863923713</v>
      </c>
      <c r="AG73" s="1">
        <f t="shared" si="93"/>
        <v>167.836837944664</v>
      </c>
      <c r="AH73" s="1">
        <f t="shared" si="94"/>
        <v>251.75525691699602</v>
      </c>
      <c r="AI73" s="1">
        <f t="shared" si="95"/>
        <v>76.73283613590283</v>
      </c>
      <c r="AJ73" s="1">
        <f t="shared" si="96"/>
        <v>62.95454545454545</v>
      </c>
      <c r="AK73" s="1">
        <f t="shared" si="26"/>
        <v>115.09925420385424</v>
      </c>
      <c r="AL73" s="1">
        <f t="shared" si="27"/>
        <v>94.43181818181819</v>
      </c>
      <c r="AM73" s="1">
        <f t="shared" si="97"/>
        <v>205.95658693637193</v>
      </c>
      <c r="AN73" s="1">
        <f t="shared" si="28"/>
        <v>308.93488040455793</v>
      </c>
      <c r="AO73" s="1">
        <f t="shared" si="98"/>
        <v>725.5718292070351</v>
      </c>
      <c r="AP73" s="1">
        <f t="shared" si="29"/>
        <v>1088.3577438105526</v>
      </c>
      <c r="AQ73" s="1">
        <f t="shared" si="30"/>
        <v>744.6232100761015</v>
      </c>
      <c r="AR73" s="1">
        <f t="shared" si="99"/>
        <v>351.692165622888</v>
      </c>
    </row>
    <row r="74" spans="2:44" ht="12.75" outlineLevel="1">
      <c r="B74" s="11" t="s">
        <v>62</v>
      </c>
      <c r="C74" s="3">
        <v>260</v>
      </c>
      <c r="D74" s="3">
        <v>250</v>
      </c>
      <c r="E74" s="3">
        <v>260</v>
      </c>
      <c r="F74" s="3">
        <v>7.5</v>
      </c>
      <c r="G74" s="3">
        <v>12.5</v>
      </c>
      <c r="H74" s="3">
        <v>24</v>
      </c>
      <c r="I74" s="3">
        <f t="shared" si="31"/>
        <v>177</v>
      </c>
      <c r="J74" s="3"/>
      <c r="K74" s="1">
        <f t="shared" si="32"/>
        <v>86.8194263153228</v>
      </c>
      <c r="L74" s="3">
        <v>10450</v>
      </c>
      <c r="M74" s="2">
        <f t="shared" si="100"/>
        <v>836</v>
      </c>
      <c r="N74" s="1">
        <f t="shared" si="101"/>
        <v>10.971087766269777</v>
      </c>
      <c r="O74" s="3">
        <v>3670</v>
      </c>
      <c r="P74" s="1">
        <f t="shared" si="102"/>
        <v>282.3076923076923</v>
      </c>
      <c r="Q74" s="4">
        <f t="shared" si="103"/>
        <v>6.501664814881512</v>
      </c>
      <c r="R74" s="1">
        <f t="shared" si="24"/>
        <v>459.8855117164263</v>
      </c>
      <c r="S74" s="1">
        <f t="shared" si="81"/>
        <v>215.08441571489598</v>
      </c>
      <c r="T74" s="8">
        <f t="shared" si="82"/>
        <v>1.48379644737231</v>
      </c>
      <c r="U74" s="8">
        <f t="shared" si="83"/>
        <v>0.6815324965752839</v>
      </c>
      <c r="V74" s="8"/>
      <c r="W74" s="1">
        <f t="shared" si="84"/>
        <v>23.6</v>
      </c>
      <c r="X74" s="4">
        <f t="shared" si="85"/>
        <v>8.18</v>
      </c>
      <c r="Y74" s="4">
        <f t="shared" si="86"/>
        <v>17.8125</v>
      </c>
      <c r="Z74" s="2">
        <f t="shared" si="87"/>
        <v>154.375</v>
      </c>
      <c r="AA74" s="6">
        <f t="shared" si="88"/>
        <v>0.006254904060565403</v>
      </c>
      <c r="AB74" s="1">
        <f t="shared" si="89"/>
        <v>516.3522135416666</v>
      </c>
      <c r="AC74" s="4">
        <f t="shared" si="90"/>
        <v>52.3747091810123</v>
      </c>
      <c r="AD74" s="8"/>
      <c r="AE74" s="2">
        <f t="shared" si="91"/>
        <v>1894.2420286979518</v>
      </c>
      <c r="AF74" s="2">
        <f t="shared" si="92"/>
        <v>2841.363043046928</v>
      </c>
      <c r="AG74" s="1">
        <f t="shared" si="93"/>
        <v>207.93599999999998</v>
      </c>
      <c r="AH74" s="1">
        <f t="shared" si="94"/>
        <v>311.904</v>
      </c>
      <c r="AI74" s="1">
        <f t="shared" si="95"/>
        <v>93.85501776650005</v>
      </c>
      <c r="AJ74" s="1">
        <f t="shared" si="96"/>
        <v>76.99300699300699</v>
      </c>
      <c r="AK74" s="1">
        <f t="shared" si="26"/>
        <v>140.78252664975008</v>
      </c>
      <c r="AL74" s="1">
        <f t="shared" si="27"/>
        <v>115.48951048951048</v>
      </c>
      <c r="AM74" s="1">
        <f t="shared" si="97"/>
        <v>224.37930916233182</v>
      </c>
      <c r="AN74" s="1">
        <f t="shared" si="28"/>
        <v>336.56896374349776</v>
      </c>
      <c r="AO74" s="1">
        <f t="shared" si="98"/>
        <v>818.7876544871056</v>
      </c>
      <c r="AP74" s="1">
        <f t="shared" si="29"/>
        <v>1228.1814817306583</v>
      </c>
      <c r="AQ74" s="1">
        <f t="shared" si="30"/>
        <v>919.7710234328526</v>
      </c>
      <c r="AR74" s="1">
        <f t="shared" si="99"/>
        <v>430.16883142979196</v>
      </c>
    </row>
    <row r="75" spans="2:44" ht="12.75" outlineLevel="1">
      <c r="B75" s="11" t="s">
        <v>63</v>
      </c>
      <c r="C75" s="3">
        <v>280</v>
      </c>
      <c r="D75" s="3">
        <v>270</v>
      </c>
      <c r="E75" s="3">
        <v>280</v>
      </c>
      <c r="F75" s="3">
        <v>8</v>
      </c>
      <c r="G75" s="3">
        <v>13</v>
      </c>
      <c r="H75" s="3">
        <v>24</v>
      </c>
      <c r="I75" s="3">
        <f t="shared" si="31"/>
        <v>196</v>
      </c>
      <c r="J75" s="3"/>
      <c r="K75" s="1">
        <f t="shared" si="32"/>
        <v>97.2644263153228</v>
      </c>
      <c r="L75" s="3">
        <v>13670</v>
      </c>
      <c r="M75" s="2">
        <f t="shared" si="100"/>
        <v>1012.5925925925926</v>
      </c>
      <c r="N75" s="1">
        <f t="shared" si="101"/>
        <v>11.855155162885174</v>
      </c>
      <c r="O75" s="3">
        <v>4760</v>
      </c>
      <c r="P75" s="1">
        <f t="shared" si="102"/>
        <v>340</v>
      </c>
      <c r="Q75" s="4">
        <f t="shared" si="103"/>
        <v>6.995624041011033</v>
      </c>
      <c r="R75" s="1">
        <f t="shared" si="24"/>
        <v>556.1116767162047</v>
      </c>
      <c r="S75" s="1">
        <f t="shared" si="81"/>
        <v>259.066189264896</v>
      </c>
      <c r="T75" s="8">
        <f t="shared" si="82"/>
        <v>1.60279644737231</v>
      </c>
      <c r="U75" s="8">
        <f t="shared" si="83"/>
        <v>0.7635257465752839</v>
      </c>
      <c r="V75" s="8"/>
      <c r="W75" s="1">
        <f t="shared" si="84"/>
        <v>24.5</v>
      </c>
      <c r="X75" s="4">
        <f t="shared" si="85"/>
        <v>8.615384615384615</v>
      </c>
      <c r="Y75" s="4">
        <f t="shared" si="86"/>
        <v>20.56</v>
      </c>
      <c r="Z75" s="2">
        <f t="shared" si="87"/>
        <v>179.9</v>
      </c>
      <c r="AA75" s="6">
        <f t="shared" si="88"/>
        <v>0.005522441396727703</v>
      </c>
      <c r="AB75" s="1">
        <f t="shared" si="89"/>
        <v>785.3666426666666</v>
      </c>
      <c r="AC75" s="4">
        <f t="shared" si="90"/>
        <v>62.09676260291236</v>
      </c>
      <c r="AD75" s="8"/>
      <c r="AE75" s="2">
        <f t="shared" si="91"/>
        <v>2122.132937788861</v>
      </c>
      <c r="AF75" s="2">
        <f t="shared" si="92"/>
        <v>3183.1994066832913</v>
      </c>
      <c r="AG75" s="1">
        <f t="shared" si="93"/>
        <v>251.85939393939393</v>
      </c>
      <c r="AH75" s="1">
        <f t="shared" si="94"/>
        <v>377.7890909090909</v>
      </c>
      <c r="AI75" s="1">
        <f t="shared" si="95"/>
        <v>113.04706440650007</v>
      </c>
      <c r="AJ75" s="1">
        <f t="shared" si="96"/>
        <v>92.72727272727272</v>
      </c>
      <c r="AK75" s="1">
        <f t="shared" si="26"/>
        <v>169.5705966097501</v>
      </c>
      <c r="AL75" s="1">
        <f t="shared" si="27"/>
        <v>139.09090909090907</v>
      </c>
      <c r="AM75" s="1">
        <f t="shared" si="97"/>
        <v>258.9888334808445</v>
      </c>
      <c r="AN75" s="1">
        <f t="shared" si="28"/>
        <v>388.48325022126676</v>
      </c>
      <c r="AO75" s="1">
        <f t="shared" si="98"/>
        <v>917.0421730255583</v>
      </c>
      <c r="AP75" s="1">
        <f t="shared" si="29"/>
        <v>1375.5632595383374</v>
      </c>
      <c r="AQ75" s="1">
        <f t="shared" si="30"/>
        <v>1112.2233534324093</v>
      </c>
      <c r="AR75" s="1">
        <f t="shared" si="99"/>
        <v>518.132378529792</v>
      </c>
    </row>
    <row r="76" spans="2:44" ht="12.75" outlineLevel="1">
      <c r="B76" s="11" t="s">
        <v>64</v>
      </c>
      <c r="C76" s="3">
        <v>300</v>
      </c>
      <c r="D76" s="3">
        <v>290</v>
      </c>
      <c r="E76" s="3">
        <v>300</v>
      </c>
      <c r="F76" s="3">
        <v>8.5</v>
      </c>
      <c r="G76" s="3">
        <v>14</v>
      </c>
      <c r="H76" s="3">
        <v>27</v>
      </c>
      <c r="I76" s="3">
        <f t="shared" si="31"/>
        <v>208</v>
      </c>
      <c r="J76" s="3"/>
      <c r="K76" s="1">
        <f t="shared" si="32"/>
        <v>112.52778955533041</v>
      </c>
      <c r="L76" s="3">
        <v>18260</v>
      </c>
      <c r="M76" s="2">
        <f t="shared" si="100"/>
        <v>1259.3103448275863</v>
      </c>
      <c r="N76" s="1">
        <f t="shared" si="101"/>
        <v>12.738564566024097</v>
      </c>
      <c r="O76" s="3">
        <v>6310</v>
      </c>
      <c r="P76" s="1">
        <f t="shared" si="102"/>
        <v>420.6666666666667</v>
      </c>
      <c r="Q76" s="4">
        <f t="shared" si="103"/>
        <v>7.488326737676423</v>
      </c>
      <c r="R76" s="1">
        <f t="shared" si="24"/>
        <v>691.635738275899</v>
      </c>
      <c r="S76" s="1">
        <f t="shared" si="81"/>
        <v>320.58297356193196</v>
      </c>
      <c r="T76" s="8">
        <f t="shared" si="82"/>
        <v>1.7166460032938489</v>
      </c>
      <c r="U76" s="8">
        <f t="shared" si="83"/>
        <v>0.8833431480093437</v>
      </c>
      <c r="V76" s="8"/>
      <c r="W76" s="1">
        <f t="shared" si="84"/>
        <v>24.470588235294116</v>
      </c>
      <c r="X76" s="4">
        <f t="shared" si="85"/>
        <v>8.482142857142858</v>
      </c>
      <c r="Y76" s="4">
        <f t="shared" si="86"/>
        <v>23.46</v>
      </c>
      <c r="Z76" s="2">
        <f t="shared" si="87"/>
        <v>207</v>
      </c>
      <c r="AA76" s="6">
        <f t="shared" si="88"/>
        <v>0.005232806585088978</v>
      </c>
      <c r="AB76" s="1">
        <f t="shared" si="89"/>
        <v>1199.772</v>
      </c>
      <c r="AC76" s="4">
        <f t="shared" si="90"/>
        <v>85.17308217178986</v>
      </c>
      <c r="AD76" s="8"/>
      <c r="AE76" s="2">
        <f t="shared" si="91"/>
        <v>2455.1517721163</v>
      </c>
      <c r="AF76" s="2">
        <f t="shared" si="92"/>
        <v>3682.72765817445</v>
      </c>
      <c r="AG76" s="1">
        <f t="shared" si="93"/>
        <v>313.22482758620686</v>
      </c>
      <c r="AH76" s="1">
        <f t="shared" si="94"/>
        <v>469.8372413793103</v>
      </c>
      <c r="AI76" s="1">
        <f t="shared" si="95"/>
        <v>139.89075209975212</v>
      </c>
      <c r="AJ76" s="1">
        <f t="shared" si="96"/>
        <v>114.72727272727272</v>
      </c>
      <c r="AK76" s="1">
        <f t="shared" si="26"/>
        <v>209.83612814962817</v>
      </c>
      <c r="AL76" s="1">
        <f t="shared" si="27"/>
        <v>172.09090909090907</v>
      </c>
      <c r="AM76" s="1">
        <f t="shared" si="97"/>
        <v>295.5193596041153</v>
      </c>
      <c r="AN76" s="1">
        <f t="shared" si="28"/>
        <v>443.27903940617296</v>
      </c>
      <c r="AO76" s="1">
        <f t="shared" si="98"/>
        <v>1058.1255842602595</v>
      </c>
      <c r="AP76" s="1">
        <f t="shared" si="29"/>
        <v>1587.1883763903893</v>
      </c>
      <c r="AQ76" s="1">
        <f t="shared" si="30"/>
        <v>1383.271476551798</v>
      </c>
      <c r="AR76" s="1">
        <f t="shared" si="99"/>
        <v>641.1659471238639</v>
      </c>
    </row>
    <row r="77" spans="2:44" ht="12.75" outlineLevel="1">
      <c r="B77" s="11" t="s">
        <v>65</v>
      </c>
      <c r="C77" s="3">
        <v>320</v>
      </c>
      <c r="D77" s="3">
        <v>310</v>
      </c>
      <c r="E77" s="3">
        <v>300</v>
      </c>
      <c r="F77" s="3">
        <v>9</v>
      </c>
      <c r="G77" s="3">
        <v>15.5</v>
      </c>
      <c r="H77" s="3">
        <v>27</v>
      </c>
      <c r="I77" s="3">
        <f t="shared" si="31"/>
        <v>225</v>
      </c>
      <c r="J77" s="3"/>
      <c r="K77" s="1">
        <f t="shared" si="32"/>
        <v>124.36778955533042</v>
      </c>
      <c r="L77" s="3">
        <v>22930</v>
      </c>
      <c r="M77" s="2">
        <f t="shared" si="100"/>
        <v>1479.3548387096773</v>
      </c>
      <c r="N77" s="1">
        <f t="shared" si="101"/>
        <v>13.578383473385205</v>
      </c>
      <c r="O77" s="3">
        <v>6990</v>
      </c>
      <c r="P77" s="1">
        <f t="shared" si="102"/>
        <v>466</v>
      </c>
      <c r="Q77" s="4">
        <f t="shared" si="103"/>
        <v>7.496950271860153</v>
      </c>
      <c r="R77" s="1">
        <f t="shared" si="24"/>
        <v>814.0446738369145</v>
      </c>
      <c r="S77" s="1">
        <f t="shared" si="81"/>
        <v>354.869882761932</v>
      </c>
      <c r="T77" s="8">
        <f t="shared" si="82"/>
        <v>1.755646003293849</v>
      </c>
      <c r="U77" s="8">
        <f t="shared" si="83"/>
        <v>0.9762871480093438</v>
      </c>
      <c r="V77" s="8"/>
      <c r="W77" s="1">
        <f t="shared" si="84"/>
        <v>25</v>
      </c>
      <c r="X77" s="4">
        <f t="shared" si="85"/>
        <v>7.645161290322581</v>
      </c>
      <c r="Y77" s="4">
        <f t="shared" si="86"/>
        <v>26.505</v>
      </c>
      <c r="Z77" s="2">
        <f t="shared" si="87"/>
        <v>220.875</v>
      </c>
      <c r="AA77" s="6">
        <f t="shared" si="88"/>
        <v>0.005247672358686242</v>
      </c>
      <c r="AB77" s="1">
        <f t="shared" si="89"/>
        <v>1512.358734375</v>
      </c>
      <c r="AC77" s="4">
        <f t="shared" si="90"/>
        <v>107.97482735664441</v>
      </c>
      <c r="AD77" s="8"/>
      <c r="AE77" s="2">
        <f t="shared" si="91"/>
        <v>2713.4790448435724</v>
      </c>
      <c r="AF77" s="2">
        <f t="shared" si="92"/>
        <v>4070.218567265359</v>
      </c>
      <c r="AG77" s="1">
        <f t="shared" si="93"/>
        <v>367.9558944281525</v>
      </c>
      <c r="AH77" s="1">
        <f t="shared" si="94"/>
        <v>551.9338416422287</v>
      </c>
      <c r="AI77" s="1">
        <f t="shared" si="95"/>
        <v>154.85231247793396</v>
      </c>
      <c r="AJ77" s="1">
        <f t="shared" si="96"/>
        <v>127.09090909090908</v>
      </c>
      <c r="AK77" s="1">
        <f t="shared" si="26"/>
        <v>232.27846871690093</v>
      </c>
      <c r="AL77" s="1">
        <f t="shared" si="27"/>
        <v>190.63636363636363</v>
      </c>
      <c r="AM77" s="1">
        <f t="shared" si="97"/>
        <v>333.87641203354974</v>
      </c>
      <c r="AN77" s="1">
        <f t="shared" si="28"/>
        <v>500.8146180503246</v>
      </c>
      <c r="AO77" s="1">
        <f t="shared" si="98"/>
        <v>1171.4961825738587</v>
      </c>
      <c r="AP77" s="1">
        <f t="shared" si="29"/>
        <v>1757.244273860788</v>
      </c>
      <c r="AQ77" s="1">
        <f t="shared" si="30"/>
        <v>1628.089347673829</v>
      </c>
      <c r="AR77" s="1">
        <f t="shared" si="99"/>
        <v>709.739765523864</v>
      </c>
    </row>
    <row r="78" spans="2:44" ht="12.75" outlineLevel="1">
      <c r="B78" s="11" t="s">
        <v>66</v>
      </c>
      <c r="C78" s="3">
        <v>340</v>
      </c>
      <c r="D78" s="3">
        <v>330</v>
      </c>
      <c r="E78" s="3">
        <v>300</v>
      </c>
      <c r="F78" s="3">
        <v>9.5</v>
      </c>
      <c r="G78" s="3">
        <v>16.5</v>
      </c>
      <c r="H78" s="3">
        <v>27</v>
      </c>
      <c r="I78" s="3">
        <f t="shared" si="31"/>
        <v>243</v>
      </c>
      <c r="J78" s="3"/>
      <c r="K78" s="1">
        <f t="shared" si="32"/>
        <v>133.47278955533042</v>
      </c>
      <c r="L78" s="3">
        <v>27690</v>
      </c>
      <c r="M78" s="2">
        <f t="shared" si="100"/>
        <v>1678.1818181818182</v>
      </c>
      <c r="N78" s="1">
        <f t="shared" si="101"/>
        <v>14.403402902347871</v>
      </c>
      <c r="O78" s="3">
        <v>7440</v>
      </c>
      <c r="P78" s="1">
        <f t="shared" si="102"/>
        <v>496</v>
      </c>
      <c r="Q78" s="4">
        <f t="shared" si="103"/>
        <v>7.466036334618527</v>
      </c>
      <c r="R78" s="1">
        <f t="shared" si="24"/>
        <v>925.2377416368131</v>
      </c>
      <c r="S78" s="1">
        <f t="shared" si="81"/>
        <v>377.97376071193196</v>
      </c>
      <c r="T78" s="8">
        <f t="shared" si="82"/>
        <v>1.794646003293849</v>
      </c>
      <c r="U78" s="8">
        <f t="shared" si="83"/>
        <v>1.0477613980093439</v>
      </c>
      <c r="V78" s="8"/>
      <c r="W78" s="1">
        <f t="shared" si="84"/>
        <v>25.57894736842105</v>
      </c>
      <c r="X78" s="4">
        <f t="shared" si="85"/>
        <v>7.166666666666667</v>
      </c>
      <c r="Y78" s="4">
        <f t="shared" si="86"/>
        <v>29.7825</v>
      </c>
      <c r="Z78" s="2">
        <f t="shared" si="87"/>
        <v>235.125</v>
      </c>
      <c r="AA78" s="6">
        <f t="shared" si="88"/>
        <v>0.00518576334543232</v>
      </c>
      <c r="AB78" s="1">
        <f t="shared" si="89"/>
        <v>1824.364265625</v>
      </c>
      <c r="AC78" s="4">
        <f t="shared" si="90"/>
        <v>127.19534575173157</v>
      </c>
      <c r="AD78" s="8"/>
      <c r="AE78" s="2">
        <f t="shared" si="91"/>
        <v>2912.133590298118</v>
      </c>
      <c r="AF78" s="2">
        <f t="shared" si="92"/>
        <v>4368.200385447178</v>
      </c>
      <c r="AG78" s="1">
        <f t="shared" si="93"/>
        <v>417.4095867768595</v>
      </c>
      <c r="AH78" s="1">
        <f t="shared" si="94"/>
        <v>626.1143801652893</v>
      </c>
      <c r="AI78" s="1">
        <f t="shared" si="95"/>
        <v>164.93400467429757</v>
      </c>
      <c r="AJ78" s="1">
        <f t="shared" si="96"/>
        <v>135.27272727272725</v>
      </c>
      <c r="AK78" s="1">
        <f t="shared" si="26"/>
        <v>247.40100701144635</v>
      </c>
      <c r="AL78" s="1">
        <f t="shared" si="27"/>
        <v>202.90909090909088</v>
      </c>
      <c r="AM78" s="1">
        <f t="shared" si="97"/>
        <v>375.1622049194188</v>
      </c>
      <c r="AN78" s="1">
        <f t="shared" si="28"/>
        <v>562.7433073791282</v>
      </c>
      <c r="AO78" s="1">
        <f t="shared" si="98"/>
        <v>1247.0765814495917</v>
      </c>
      <c r="AP78" s="1">
        <f t="shared" si="29"/>
        <v>1870.6148721743875</v>
      </c>
      <c r="AQ78" s="1">
        <f t="shared" si="30"/>
        <v>1850.4754832736262</v>
      </c>
      <c r="AR78" s="1">
        <f t="shared" si="99"/>
        <v>755.9475214238639</v>
      </c>
    </row>
    <row r="79" spans="2:44" ht="12.75" outlineLevel="1">
      <c r="B79" s="11" t="s">
        <v>67</v>
      </c>
      <c r="C79" s="3">
        <v>360</v>
      </c>
      <c r="D79" s="3">
        <v>350</v>
      </c>
      <c r="E79" s="3">
        <v>300</v>
      </c>
      <c r="F79" s="3">
        <v>10</v>
      </c>
      <c r="G79" s="3">
        <v>17.5</v>
      </c>
      <c r="H79" s="3">
        <v>27</v>
      </c>
      <c r="I79" s="3">
        <f t="shared" si="31"/>
        <v>261</v>
      </c>
      <c r="J79" s="3"/>
      <c r="K79" s="1">
        <f t="shared" si="32"/>
        <v>142.75778955533042</v>
      </c>
      <c r="L79" s="3">
        <v>33090</v>
      </c>
      <c r="M79" s="2">
        <f t="shared" si="100"/>
        <v>1890.857142857143</v>
      </c>
      <c r="N79" s="1">
        <f t="shared" si="101"/>
        <v>15.224690622489582</v>
      </c>
      <c r="O79" s="3">
        <v>7890</v>
      </c>
      <c r="P79" s="1">
        <f t="shared" si="102"/>
        <v>526</v>
      </c>
      <c r="Q79" s="4">
        <f t="shared" si="103"/>
        <v>7.4342745249559625</v>
      </c>
      <c r="R79" s="1">
        <f t="shared" si="24"/>
        <v>1044.2368094367118</v>
      </c>
      <c r="S79" s="1">
        <f t="shared" si="81"/>
        <v>401.138951161932</v>
      </c>
      <c r="T79" s="8">
        <f t="shared" si="82"/>
        <v>1.8336460032938489</v>
      </c>
      <c r="U79" s="8">
        <f t="shared" si="83"/>
        <v>1.1206486480093438</v>
      </c>
      <c r="V79" s="8"/>
      <c r="W79" s="1">
        <f t="shared" si="84"/>
        <v>26.1</v>
      </c>
      <c r="X79" s="4">
        <f t="shared" si="85"/>
        <v>6.742857142857143</v>
      </c>
      <c r="Y79" s="4">
        <f t="shared" si="86"/>
        <v>33.25</v>
      </c>
      <c r="Z79" s="2">
        <f t="shared" si="87"/>
        <v>249.375</v>
      </c>
      <c r="AA79" s="6">
        <f t="shared" si="88"/>
        <v>0.005135446952830765</v>
      </c>
      <c r="AB79" s="1">
        <f t="shared" si="89"/>
        <v>2176.576171875</v>
      </c>
      <c r="AC79" s="4">
        <f t="shared" si="90"/>
        <v>148.82114487986232</v>
      </c>
      <c r="AD79" s="8"/>
      <c r="AE79" s="2">
        <f t="shared" si="91"/>
        <v>3114.7154084799363</v>
      </c>
      <c r="AF79" s="2">
        <f t="shared" si="92"/>
        <v>4672.073112719904</v>
      </c>
      <c r="AG79" s="1">
        <f t="shared" si="93"/>
        <v>470.3077402597402</v>
      </c>
      <c r="AH79" s="1">
        <f t="shared" si="94"/>
        <v>705.4616103896103</v>
      </c>
      <c r="AI79" s="1">
        <f t="shared" si="95"/>
        <v>175.04245141611577</v>
      </c>
      <c r="AJ79" s="1">
        <f t="shared" si="96"/>
        <v>143.45454545454544</v>
      </c>
      <c r="AK79" s="1">
        <f t="shared" si="26"/>
        <v>262.56367712417364</v>
      </c>
      <c r="AL79" s="1">
        <f t="shared" si="27"/>
        <v>215.18181818181816</v>
      </c>
      <c r="AM79" s="1">
        <f t="shared" si="97"/>
        <v>418.8413771030194</v>
      </c>
      <c r="AN79" s="1">
        <f t="shared" si="28"/>
        <v>628.2620656545291</v>
      </c>
      <c r="AO79" s="1">
        <f t="shared" si="98"/>
        <v>1322.6569803253244</v>
      </c>
      <c r="AP79" s="1">
        <f t="shared" si="29"/>
        <v>1983.9854704879867</v>
      </c>
      <c r="AQ79" s="1">
        <f t="shared" si="30"/>
        <v>2088.4736188734237</v>
      </c>
      <c r="AR79" s="1">
        <f t="shared" si="99"/>
        <v>802.277902323864</v>
      </c>
    </row>
    <row r="80" spans="2:44" ht="12.75" outlineLevel="1">
      <c r="B80" s="11" t="s">
        <v>68</v>
      </c>
      <c r="C80" s="3">
        <v>400</v>
      </c>
      <c r="D80" s="3">
        <v>390</v>
      </c>
      <c r="E80" s="3">
        <v>300</v>
      </c>
      <c r="F80" s="3">
        <v>11</v>
      </c>
      <c r="G80" s="3">
        <v>19</v>
      </c>
      <c r="H80" s="3">
        <v>27</v>
      </c>
      <c r="I80" s="3">
        <f aca="true" t="shared" si="104" ref="I80:I88">ROUNDDOWN(D80-2*G80-2*H80,0)</f>
        <v>298</v>
      </c>
      <c r="J80" s="3"/>
      <c r="K80" s="1">
        <f t="shared" si="32"/>
        <v>158.97778955533042</v>
      </c>
      <c r="L80" s="3">
        <v>45070</v>
      </c>
      <c r="M80" s="2">
        <f t="shared" si="100"/>
        <v>2311.2820512820513</v>
      </c>
      <c r="N80" s="1">
        <f t="shared" si="101"/>
        <v>16.83742025846297</v>
      </c>
      <c r="O80" s="3">
        <v>8560</v>
      </c>
      <c r="P80" s="1">
        <f t="shared" si="102"/>
        <v>570.6666666666666</v>
      </c>
      <c r="Q80" s="4">
        <f t="shared" si="103"/>
        <v>7.337847052497136</v>
      </c>
      <c r="R80" s="1">
        <f t="shared" si="24"/>
        <v>1280.8995147753926</v>
      </c>
      <c r="S80" s="1">
        <f t="shared" si="81"/>
        <v>436.43189456193204</v>
      </c>
      <c r="T80" s="8">
        <f t="shared" si="82"/>
        <v>1.911646003293849</v>
      </c>
      <c r="U80" s="8">
        <f t="shared" si="83"/>
        <v>1.2479756480093438</v>
      </c>
      <c r="V80" s="8"/>
      <c r="W80" s="1">
        <f t="shared" si="84"/>
        <v>27.09090909090909</v>
      </c>
      <c r="X80" s="4">
        <f t="shared" si="85"/>
        <v>6.184210526315789</v>
      </c>
      <c r="Y80" s="4">
        <f t="shared" si="86"/>
        <v>40.81</v>
      </c>
      <c r="Z80" s="2">
        <f t="shared" si="87"/>
        <v>278.25</v>
      </c>
      <c r="AA80" s="6">
        <f t="shared" si="88"/>
        <v>0.004978298322301593</v>
      </c>
      <c r="AB80" s="1">
        <f t="shared" si="89"/>
        <v>2942.076375</v>
      </c>
      <c r="AC80" s="4">
        <f t="shared" si="90"/>
        <v>189.03840939155359</v>
      </c>
      <c r="AD80" s="8"/>
      <c r="AE80" s="2">
        <f t="shared" si="91"/>
        <v>3468.606317570845</v>
      </c>
      <c r="AF80" s="2">
        <f t="shared" si="92"/>
        <v>5202.909476356268</v>
      </c>
      <c r="AG80" s="1">
        <f t="shared" si="93"/>
        <v>574.878881118881</v>
      </c>
      <c r="AH80" s="1">
        <f t="shared" si="94"/>
        <v>862.3183216783216</v>
      </c>
      <c r="AI80" s="1">
        <f t="shared" si="95"/>
        <v>190.44300853611577</v>
      </c>
      <c r="AJ80" s="1">
        <f t="shared" si="96"/>
        <v>155.6363636363636</v>
      </c>
      <c r="AK80" s="1">
        <f t="shared" si="26"/>
        <v>285.6645128041737</v>
      </c>
      <c r="AL80" s="1">
        <f t="shared" si="27"/>
        <v>233.45454545454538</v>
      </c>
      <c r="AM80" s="1">
        <f t="shared" si="97"/>
        <v>514.0726796864428</v>
      </c>
      <c r="AN80" s="1">
        <f t="shared" si="28"/>
        <v>771.1090195296642</v>
      </c>
      <c r="AO80" s="1">
        <f t="shared" si="98"/>
        <v>1436.0275786389236</v>
      </c>
      <c r="AP80" s="1">
        <f t="shared" si="29"/>
        <v>2154.0413679583853</v>
      </c>
      <c r="AQ80" s="1">
        <f t="shared" si="30"/>
        <v>2561.7990295507852</v>
      </c>
      <c r="AR80" s="1">
        <f t="shared" si="99"/>
        <v>872.8637891238641</v>
      </c>
    </row>
    <row r="81" spans="2:44" ht="12.75" outlineLevel="1">
      <c r="B81" s="11" t="s">
        <v>69</v>
      </c>
      <c r="C81" s="3">
        <v>450</v>
      </c>
      <c r="D81" s="3">
        <v>440</v>
      </c>
      <c r="E81" s="3">
        <v>300</v>
      </c>
      <c r="F81" s="3">
        <v>11.5</v>
      </c>
      <c r="G81" s="3">
        <v>21</v>
      </c>
      <c r="H81" s="3">
        <v>27</v>
      </c>
      <c r="I81" s="3">
        <f t="shared" si="104"/>
        <v>344</v>
      </c>
      <c r="J81" s="3"/>
      <c r="K81" s="1">
        <f t="shared" si="32"/>
        <v>178.02778955533043</v>
      </c>
      <c r="L81" s="3">
        <v>63720</v>
      </c>
      <c r="M81" s="2">
        <f t="shared" si="100"/>
        <v>2896.3636363636365</v>
      </c>
      <c r="N81" s="1">
        <f t="shared" si="101"/>
        <v>18.918817324803392</v>
      </c>
      <c r="O81" s="3">
        <v>9470</v>
      </c>
      <c r="P81" s="1">
        <f t="shared" si="102"/>
        <v>631.3333333333334</v>
      </c>
      <c r="Q81" s="4">
        <f t="shared" si="103"/>
        <v>7.293417751255992</v>
      </c>
      <c r="R81" s="1">
        <f t="shared" si="24"/>
        <v>1607.9337227640224</v>
      </c>
      <c r="S81" s="1">
        <f t="shared" si="81"/>
        <v>482.765553761932</v>
      </c>
      <c r="T81" s="8">
        <f t="shared" si="82"/>
        <v>2.010646003293849</v>
      </c>
      <c r="U81" s="8">
        <f t="shared" si="83"/>
        <v>1.397518148009344</v>
      </c>
      <c r="V81" s="8"/>
      <c r="W81" s="1">
        <f t="shared" si="84"/>
        <v>29.91304347826087</v>
      </c>
      <c r="X81" s="4">
        <f t="shared" si="85"/>
        <v>5.583333333333333</v>
      </c>
      <c r="Y81" s="4">
        <f t="shared" si="86"/>
        <v>48.185</v>
      </c>
      <c r="Z81" s="2">
        <f t="shared" si="87"/>
        <v>314.25</v>
      </c>
      <c r="AA81" s="6">
        <f t="shared" si="88"/>
        <v>0.004761148175787813</v>
      </c>
      <c r="AB81" s="1">
        <f t="shared" si="89"/>
        <v>4147.628625</v>
      </c>
      <c r="AC81" s="4">
        <f t="shared" si="90"/>
        <v>243.75724595196698</v>
      </c>
      <c r="AD81" s="8"/>
      <c r="AE81" s="2">
        <f t="shared" si="91"/>
        <v>3884.242681207209</v>
      </c>
      <c r="AF81" s="2">
        <f t="shared" si="92"/>
        <v>5826.364021810814</v>
      </c>
      <c r="AG81" s="1">
        <f t="shared" si="93"/>
        <v>720.4046280991736</v>
      </c>
      <c r="AH81" s="1">
        <f t="shared" si="94"/>
        <v>1080.6069421487605</v>
      </c>
      <c r="AI81" s="1">
        <f t="shared" si="95"/>
        <v>210.6613325506612</v>
      </c>
      <c r="AJ81" s="1">
        <f t="shared" si="96"/>
        <v>172.18181818181816</v>
      </c>
      <c r="AK81" s="1">
        <f t="shared" si="26"/>
        <v>315.9919988259918</v>
      </c>
      <c r="AL81" s="1">
        <f t="shared" si="27"/>
        <v>258.27272727272725</v>
      </c>
      <c r="AM81" s="1">
        <f t="shared" si="97"/>
        <v>606.9735866378643</v>
      </c>
      <c r="AN81" s="1">
        <f t="shared" si="28"/>
        <v>910.4603799567965</v>
      </c>
      <c r="AO81" s="1">
        <f t="shared" si="98"/>
        <v>1587.1883763903895</v>
      </c>
      <c r="AP81" s="1">
        <f t="shared" si="29"/>
        <v>2380.782564585584</v>
      </c>
      <c r="AQ81" s="1">
        <f t="shared" si="30"/>
        <v>3215.8674455280448</v>
      </c>
      <c r="AR81" s="1">
        <f t="shared" si="99"/>
        <v>965.531107523864</v>
      </c>
    </row>
    <row r="82" spans="2:44" ht="12.75" outlineLevel="1">
      <c r="B82" s="11" t="s">
        <v>70</v>
      </c>
      <c r="C82" s="3">
        <v>500</v>
      </c>
      <c r="D82" s="3">
        <v>490</v>
      </c>
      <c r="E82" s="3">
        <v>300</v>
      </c>
      <c r="F82" s="3">
        <v>12</v>
      </c>
      <c r="G82" s="3">
        <v>23</v>
      </c>
      <c r="H82" s="3">
        <v>27</v>
      </c>
      <c r="I82" s="3">
        <f t="shared" si="104"/>
        <v>390</v>
      </c>
      <c r="J82" s="3"/>
      <c r="K82" s="1">
        <f t="shared" si="32"/>
        <v>197.53778955533042</v>
      </c>
      <c r="L82" s="3">
        <v>86970</v>
      </c>
      <c r="M82" s="2">
        <f t="shared" si="100"/>
        <v>3549.795918367347</v>
      </c>
      <c r="N82" s="1">
        <f t="shared" si="101"/>
        <v>20.982616359566947</v>
      </c>
      <c r="O82" s="3">
        <v>10370</v>
      </c>
      <c r="P82" s="1">
        <f t="shared" si="102"/>
        <v>691.3333333333334</v>
      </c>
      <c r="Q82" s="4">
        <f t="shared" si="103"/>
        <v>7.24543197470043</v>
      </c>
      <c r="R82" s="1">
        <f t="shared" si="24"/>
        <v>1974.4284307526525</v>
      </c>
      <c r="S82" s="1">
        <f t="shared" si="81"/>
        <v>529.256337961932</v>
      </c>
      <c r="T82" s="8">
        <f t="shared" si="82"/>
        <v>2.109646003293849</v>
      </c>
      <c r="U82" s="8">
        <f t="shared" si="83"/>
        <v>1.5506716480093439</v>
      </c>
      <c r="V82" s="8"/>
      <c r="W82" s="1">
        <f t="shared" si="84"/>
        <v>32.5</v>
      </c>
      <c r="X82" s="4">
        <f t="shared" si="85"/>
        <v>5.086956521739131</v>
      </c>
      <c r="Y82" s="4">
        <f t="shared" si="86"/>
        <v>56.04</v>
      </c>
      <c r="Z82" s="2">
        <f t="shared" si="87"/>
        <v>350.25</v>
      </c>
      <c r="AA82" s="6">
        <f t="shared" si="88"/>
        <v>0.004597762690586705</v>
      </c>
      <c r="AB82" s="1">
        <f t="shared" si="89"/>
        <v>5643.052875</v>
      </c>
      <c r="AC82" s="4">
        <f t="shared" si="90"/>
        <v>309.2726381958541</v>
      </c>
      <c r="AD82" s="8"/>
      <c r="AE82" s="2">
        <f t="shared" si="91"/>
        <v>4309.915408479937</v>
      </c>
      <c r="AF82" s="2">
        <f t="shared" si="92"/>
        <v>6464.873112719904</v>
      </c>
      <c r="AG82" s="1">
        <f t="shared" si="93"/>
        <v>882.9310575139145</v>
      </c>
      <c r="AH82" s="1">
        <f t="shared" si="94"/>
        <v>1324.396586270872</v>
      </c>
      <c r="AI82" s="1">
        <f t="shared" si="95"/>
        <v>230.94822020157028</v>
      </c>
      <c r="AJ82" s="1">
        <f t="shared" si="96"/>
        <v>188.54545454545453</v>
      </c>
      <c r="AK82" s="1">
        <f t="shared" si="26"/>
        <v>346.4223303023554</v>
      </c>
      <c r="AL82" s="1">
        <f t="shared" si="27"/>
        <v>282.8181818181818</v>
      </c>
      <c r="AM82" s="1">
        <f t="shared" si="97"/>
        <v>705.9209254993445</v>
      </c>
      <c r="AN82" s="1">
        <f t="shared" si="28"/>
        <v>1058.8813882490167</v>
      </c>
      <c r="AO82" s="1">
        <f t="shared" si="98"/>
        <v>1738.349174141855</v>
      </c>
      <c r="AP82" s="1">
        <f t="shared" si="29"/>
        <v>2607.5237612127826</v>
      </c>
      <c r="AQ82" s="1">
        <f t="shared" si="30"/>
        <v>3948.856861505305</v>
      </c>
      <c r="AR82" s="1">
        <f t="shared" si="99"/>
        <v>1058.512675923864</v>
      </c>
    </row>
    <row r="83" spans="2:44" ht="12.75" outlineLevel="1">
      <c r="B83" s="11" t="s">
        <v>71</v>
      </c>
      <c r="C83" s="3">
        <v>550</v>
      </c>
      <c r="D83" s="3">
        <v>540</v>
      </c>
      <c r="E83" s="3">
        <v>300</v>
      </c>
      <c r="F83" s="3">
        <v>12.5</v>
      </c>
      <c r="G83" s="3">
        <v>24</v>
      </c>
      <c r="H83" s="3">
        <v>27</v>
      </c>
      <c r="I83" s="3">
        <f t="shared" si="104"/>
        <v>438</v>
      </c>
      <c r="J83" s="3"/>
      <c r="K83" s="1">
        <f t="shared" si="32"/>
        <v>211.75778955533042</v>
      </c>
      <c r="L83" s="3">
        <v>111900</v>
      </c>
      <c r="M83" s="2">
        <f t="shared" si="100"/>
        <v>4144.444444444444</v>
      </c>
      <c r="N83" s="1">
        <f t="shared" si="101"/>
        <v>22.987690739775765</v>
      </c>
      <c r="O83" s="3">
        <v>10820</v>
      </c>
      <c r="P83" s="1">
        <f t="shared" si="102"/>
        <v>721.3333333333334</v>
      </c>
      <c r="Q83" s="4">
        <f t="shared" si="103"/>
        <v>7.148154535657199</v>
      </c>
      <c r="R83" s="1">
        <f t="shared" si="24"/>
        <v>2310.908778219049</v>
      </c>
      <c r="S83" s="1">
        <f t="shared" si="81"/>
        <v>553.451934661932</v>
      </c>
      <c r="T83" s="8">
        <f t="shared" si="82"/>
        <v>2.208646003293849</v>
      </c>
      <c r="U83" s="8">
        <f t="shared" si="83"/>
        <v>1.6622986480093438</v>
      </c>
      <c r="V83" s="8"/>
      <c r="W83" s="1">
        <f t="shared" si="84"/>
        <v>35.04</v>
      </c>
      <c r="X83" s="4">
        <f t="shared" si="85"/>
        <v>4.864583333333333</v>
      </c>
      <c r="Y83" s="4">
        <f t="shared" si="86"/>
        <v>64.5</v>
      </c>
      <c r="Z83" s="2">
        <f t="shared" si="87"/>
        <v>387</v>
      </c>
      <c r="AA83" s="6">
        <f t="shared" si="88"/>
        <v>0.004342968522800393</v>
      </c>
      <c r="AB83" s="1">
        <f t="shared" si="89"/>
        <v>7188.912</v>
      </c>
      <c r="AC83" s="4">
        <f t="shared" si="90"/>
        <v>351.53680933702583</v>
      </c>
      <c r="AD83" s="8"/>
      <c r="AE83" s="2">
        <f t="shared" si="91"/>
        <v>4620.169953934482</v>
      </c>
      <c r="AF83" s="2">
        <f t="shared" si="92"/>
        <v>6930.254930901722</v>
      </c>
      <c r="AG83" s="1">
        <f t="shared" si="93"/>
        <v>1030.8363636363636</v>
      </c>
      <c r="AH83" s="1">
        <f t="shared" si="94"/>
        <v>1546.2545454545452</v>
      </c>
      <c r="AI83" s="1">
        <f t="shared" si="95"/>
        <v>241.50629876157032</v>
      </c>
      <c r="AJ83" s="1">
        <f t="shared" si="96"/>
        <v>196.72727272727272</v>
      </c>
      <c r="AK83" s="1">
        <f t="shared" si="26"/>
        <v>362.2594481423555</v>
      </c>
      <c r="AL83" s="1">
        <f t="shared" si="27"/>
        <v>295.09090909090907</v>
      </c>
      <c r="AM83" s="1">
        <f t="shared" si="97"/>
        <v>812.4892879141279</v>
      </c>
      <c r="AN83" s="1">
        <f t="shared" si="28"/>
        <v>1218.7339318711918</v>
      </c>
      <c r="AO83" s="1">
        <f t="shared" si="98"/>
        <v>1813.929573017588</v>
      </c>
      <c r="AP83" s="1">
        <f t="shared" si="29"/>
        <v>2720.894359526382</v>
      </c>
      <c r="AQ83" s="1">
        <f t="shared" si="30"/>
        <v>4621.817556438098</v>
      </c>
      <c r="AR83" s="1">
        <f t="shared" si="99"/>
        <v>1106.903869323864</v>
      </c>
    </row>
    <row r="84" spans="2:44" ht="12.75" outlineLevel="1">
      <c r="B84" s="11" t="s">
        <v>72</v>
      </c>
      <c r="C84" s="3">
        <v>600</v>
      </c>
      <c r="D84" s="3">
        <v>590</v>
      </c>
      <c r="E84" s="3">
        <v>300</v>
      </c>
      <c r="F84" s="3">
        <v>13</v>
      </c>
      <c r="G84" s="3">
        <v>25</v>
      </c>
      <c r="H84" s="3">
        <v>27</v>
      </c>
      <c r="I84" s="3">
        <f t="shared" si="104"/>
        <v>486</v>
      </c>
      <c r="J84" s="3"/>
      <c r="K84" s="1">
        <f t="shared" si="32"/>
        <v>226.4577895553304</v>
      </c>
      <c r="L84" s="3">
        <v>141200</v>
      </c>
      <c r="M84" s="2">
        <f t="shared" si="100"/>
        <v>4786.440677966101</v>
      </c>
      <c r="N84" s="1">
        <f t="shared" si="101"/>
        <v>24.970297487872948</v>
      </c>
      <c r="O84" s="3">
        <v>11270</v>
      </c>
      <c r="P84" s="1">
        <f t="shared" si="102"/>
        <v>751.3333333333334</v>
      </c>
      <c r="Q84" s="4">
        <f t="shared" si="103"/>
        <v>7.05453392134429</v>
      </c>
      <c r="R84" s="1">
        <f t="shared" si="24"/>
        <v>2675.1931256854455</v>
      </c>
      <c r="S84" s="1">
        <f t="shared" si="81"/>
        <v>577.828281361932</v>
      </c>
      <c r="T84" s="8">
        <f t="shared" si="82"/>
        <v>2.307646003293849</v>
      </c>
      <c r="U84" s="8">
        <f t="shared" si="83"/>
        <v>1.7776936480093437</v>
      </c>
      <c r="V84" s="8"/>
      <c r="W84" s="1">
        <f t="shared" si="84"/>
        <v>37.38461538461539</v>
      </c>
      <c r="X84" s="4">
        <f t="shared" si="85"/>
        <v>4.66</v>
      </c>
      <c r="Y84" s="4">
        <f t="shared" si="86"/>
        <v>73.45</v>
      </c>
      <c r="Z84" s="2">
        <f t="shared" si="87"/>
        <v>423.75</v>
      </c>
      <c r="AA84" s="6">
        <f t="shared" si="88"/>
        <v>0.004134028731760744</v>
      </c>
      <c r="AB84" s="1">
        <f t="shared" si="89"/>
        <v>8978.203125</v>
      </c>
      <c r="AC84" s="4">
        <f t="shared" si="90"/>
        <v>397.8054089918363</v>
      </c>
      <c r="AD84" s="8"/>
      <c r="AE84" s="2">
        <f t="shared" si="91"/>
        <v>4940.897226661754</v>
      </c>
      <c r="AF84" s="2">
        <f t="shared" si="92"/>
        <v>7411.345839992631</v>
      </c>
      <c r="AG84" s="1">
        <f t="shared" si="93"/>
        <v>1190.5183359013865</v>
      </c>
      <c r="AH84" s="1">
        <f t="shared" si="94"/>
        <v>1785.77750385208</v>
      </c>
      <c r="AI84" s="1">
        <f t="shared" si="95"/>
        <v>252.14325004884304</v>
      </c>
      <c r="AJ84" s="1">
        <f t="shared" si="96"/>
        <v>204.90909090909088</v>
      </c>
      <c r="AK84" s="1">
        <f>1.5*AI84</f>
        <v>378.2148750732646</v>
      </c>
      <c r="AL84" s="1">
        <f>1.5*AJ84</f>
        <v>307.3636363636363</v>
      </c>
      <c r="AM84" s="1">
        <f t="shared" si="97"/>
        <v>925.2300495704293</v>
      </c>
      <c r="AN84" s="1">
        <f t="shared" si="28"/>
        <v>1387.8450743556439</v>
      </c>
      <c r="AO84" s="1">
        <f t="shared" si="98"/>
        <v>1889.5099718933207</v>
      </c>
      <c r="AP84" s="1">
        <f t="shared" si="29"/>
        <v>2834.264957839981</v>
      </c>
      <c r="AQ84" s="1">
        <f t="shared" si="30"/>
        <v>5350.386251370891</v>
      </c>
      <c r="AR84" s="1">
        <f t="shared" si="99"/>
        <v>1155.656562723864</v>
      </c>
    </row>
    <row r="85" spans="2:44" ht="12.75" outlineLevel="1">
      <c r="B85" s="11" t="s">
        <v>73</v>
      </c>
      <c r="C85" s="3">
        <v>650</v>
      </c>
      <c r="D85" s="3">
        <v>640</v>
      </c>
      <c r="E85" s="3">
        <v>300</v>
      </c>
      <c r="F85" s="3">
        <v>13.5</v>
      </c>
      <c r="G85" s="3">
        <v>26</v>
      </c>
      <c r="H85" s="3">
        <v>27</v>
      </c>
      <c r="I85" s="3">
        <f t="shared" si="104"/>
        <v>534</v>
      </c>
      <c r="J85" s="3"/>
      <c r="K85" s="1">
        <f t="shared" si="32"/>
        <v>241.63778955533041</v>
      </c>
      <c r="L85" s="3">
        <v>175200</v>
      </c>
      <c r="M85" s="2">
        <f t="shared" si="100"/>
        <v>5475</v>
      </c>
      <c r="N85" s="1">
        <f t="shared" si="101"/>
        <v>26.926792508715998</v>
      </c>
      <c r="O85" s="3">
        <v>11720</v>
      </c>
      <c r="P85" s="1">
        <f t="shared" si="102"/>
        <v>781.3333333333334</v>
      </c>
      <c r="Q85" s="4">
        <f t="shared" si="103"/>
        <v>6.964362665897132</v>
      </c>
      <c r="R85" s="1">
        <f t="shared" si="24"/>
        <v>3068.145473151842</v>
      </c>
      <c r="S85" s="1">
        <f t="shared" si="81"/>
        <v>602.394378061932</v>
      </c>
      <c r="T85" s="8">
        <f t="shared" si="82"/>
        <v>2.406646003293849</v>
      </c>
      <c r="U85" s="8">
        <f t="shared" si="83"/>
        <v>1.8968566480093438</v>
      </c>
      <c r="V85" s="8"/>
      <c r="W85" s="1">
        <f t="shared" si="84"/>
        <v>39.55555555555556</v>
      </c>
      <c r="X85" s="4">
        <f t="shared" si="85"/>
        <v>4.471153846153846</v>
      </c>
      <c r="Y85" s="4">
        <f t="shared" si="86"/>
        <v>82.89</v>
      </c>
      <c r="Z85" s="2">
        <f t="shared" si="87"/>
        <v>460.5</v>
      </c>
      <c r="AA85" s="6">
        <f t="shared" si="88"/>
        <v>0.003959896289797154</v>
      </c>
      <c r="AB85" s="1">
        <f t="shared" si="89"/>
        <v>11027.133</v>
      </c>
      <c r="AC85" s="4">
        <f t="shared" si="90"/>
        <v>448.29563709751795</v>
      </c>
      <c r="AD85" s="8"/>
      <c r="AE85" s="2">
        <f t="shared" si="91"/>
        <v>5272.097226661754</v>
      </c>
      <c r="AF85" s="2">
        <f t="shared" si="92"/>
        <v>7908.145839992631</v>
      </c>
      <c r="AG85" s="1">
        <f t="shared" si="93"/>
        <v>1361.7818181818182</v>
      </c>
      <c r="AH85" s="1">
        <f t="shared" si="94"/>
        <v>2042.6727272727271</v>
      </c>
      <c r="AI85" s="1">
        <f t="shared" si="95"/>
        <v>262.86300133611576</v>
      </c>
      <c r="AJ85" s="1">
        <f t="shared" si="96"/>
        <v>213.0909090909091</v>
      </c>
      <c r="AK85" s="1">
        <f aca="true" t="shared" si="105" ref="AK85:AK113">1.5*AI85</f>
        <v>394.29450200417364</v>
      </c>
      <c r="AL85" s="1">
        <f aca="true" t="shared" si="106" ref="AL85:AL113">1.5*AJ85</f>
        <v>319.6363636363636</v>
      </c>
      <c r="AM85" s="1">
        <f t="shared" si="97"/>
        <v>1044.143210468249</v>
      </c>
      <c r="AN85" s="1">
        <f t="shared" si="28"/>
        <v>1566.2148157023735</v>
      </c>
      <c r="AO85" s="1">
        <f t="shared" si="98"/>
        <v>1965.0903707690534</v>
      </c>
      <c r="AP85" s="1">
        <f t="shared" si="29"/>
        <v>2947.63555615358</v>
      </c>
      <c r="AQ85" s="1">
        <f t="shared" si="30"/>
        <v>6136.290946303684</v>
      </c>
      <c r="AR85" s="1">
        <f t="shared" si="99"/>
        <v>1204.788756123864</v>
      </c>
    </row>
    <row r="86" spans="2:44" ht="12.75" outlineLevel="1">
      <c r="B86" s="11" t="s">
        <v>74</v>
      </c>
      <c r="C86" s="3">
        <v>700</v>
      </c>
      <c r="D86" s="3">
        <v>690</v>
      </c>
      <c r="E86" s="3">
        <v>300</v>
      </c>
      <c r="F86" s="3">
        <v>14.5</v>
      </c>
      <c r="G86" s="3">
        <v>27</v>
      </c>
      <c r="H86" s="3">
        <v>27</v>
      </c>
      <c r="I86" s="3">
        <f t="shared" si="104"/>
        <v>582</v>
      </c>
      <c r="J86" s="3"/>
      <c r="K86" s="1">
        <f t="shared" si="32"/>
        <v>260.47778955533045</v>
      </c>
      <c r="L86" s="3">
        <v>215300</v>
      </c>
      <c r="M86" s="2">
        <f t="shared" si="100"/>
        <v>6240.579710144928</v>
      </c>
      <c r="N86" s="1">
        <f t="shared" si="101"/>
        <v>28.749921686993982</v>
      </c>
      <c r="O86" s="3">
        <v>12180</v>
      </c>
      <c r="P86" s="1">
        <f t="shared" si="102"/>
        <v>812</v>
      </c>
      <c r="Q86" s="4">
        <f t="shared" si="103"/>
        <v>6.838144837537476</v>
      </c>
      <c r="R86" s="1">
        <f t="shared" si="24"/>
        <v>3515.910820618238</v>
      </c>
      <c r="S86" s="1">
        <f t="shared" si="81"/>
        <v>628.370321461932</v>
      </c>
      <c r="T86" s="8">
        <f t="shared" si="82"/>
        <v>2.504646003293849</v>
      </c>
      <c r="U86" s="8">
        <f t="shared" si="83"/>
        <v>2.044750648009344</v>
      </c>
      <c r="V86" s="8"/>
      <c r="W86" s="1">
        <f t="shared" si="84"/>
        <v>40.13793103448276</v>
      </c>
      <c r="X86" s="4">
        <f t="shared" si="85"/>
        <v>4.287037037037037</v>
      </c>
      <c r="Y86" s="4">
        <f t="shared" si="86"/>
        <v>96.135</v>
      </c>
      <c r="Z86" s="2">
        <f t="shared" si="87"/>
        <v>497.25</v>
      </c>
      <c r="AA86" s="6">
        <f t="shared" si="88"/>
        <v>0.003852977447606602</v>
      </c>
      <c r="AB86" s="1">
        <f t="shared" si="89"/>
        <v>13351.908375</v>
      </c>
      <c r="AC86" s="4">
        <f t="shared" si="90"/>
        <v>513.890457459779</v>
      </c>
      <c r="AD86" s="8"/>
      <c r="AE86" s="2">
        <f t="shared" si="91"/>
        <v>5683.1517721163</v>
      </c>
      <c r="AF86" s="2">
        <f t="shared" si="92"/>
        <v>8524.72765817445</v>
      </c>
      <c r="AG86" s="1">
        <f t="shared" si="93"/>
        <v>1552.202371541502</v>
      </c>
      <c r="AH86" s="1">
        <f t="shared" si="94"/>
        <v>2328.3035573122534</v>
      </c>
      <c r="AI86" s="1">
        <f t="shared" si="95"/>
        <v>274.19795845611577</v>
      </c>
      <c r="AJ86" s="1">
        <f t="shared" si="96"/>
        <v>221.45454545454544</v>
      </c>
      <c r="AK86" s="1">
        <f t="shared" si="105"/>
        <v>411.29693768417366</v>
      </c>
      <c r="AL86" s="1">
        <f t="shared" si="106"/>
        <v>332.18181818181813</v>
      </c>
      <c r="AM86" s="1">
        <f t="shared" si="97"/>
        <v>1210.9869409864293</v>
      </c>
      <c r="AN86" s="1">
        <f t="shared" si="28"/>
        <v>1816.4804114796439</v>
      </c>
      <c r="AO86" s="1">
        <f t="shared" si="98"/>
        <v>2040.670769644786</v>
      </c>
      <c r="AP86" s="1">
        <f t="shared" si="29"/>
        <v>3061.006154467179</v>
      </c>
      <c r="AQ86" s="1">
        <f t="shared" si="30"/>
        <v>7031.821641236476</v>
      </c>
      <c r="AR86" s="1">
        <f t="shared" si="99"/>
        <v>1256.740642923864</v>
      </c>
    </row>
    <row r="87" spans="2:44" ht="12.75" outlineLevel="1">
      <c r="B87" s="11" t="s">
        <v>75</v>
      </c>
      <c r="C87" s="3">
        <v>800</v>
      </c>
      <c r="D87" s="3">
        <v>790</v>
      </c>
      <c r="E87" s="3">
        <v>300</v>
      </c>
      <c r="F87" s="3">
        <v>15</v>
      </c>
      <c r="G87" s="3">
        <v>28</v>
      </c>
      <c r="H87" s="3">
        <v>30</v>
      </c>
      <c r="I87" s="3">
        <f t="shared" si="104"/>
        <v>674</v>
      </c>
      <c r="J87" s="3"/>
      <c r="K87" s="1">
        <f t="shared" si="32"/>
        <v>285.82566611769187</v>
      </c>
      <c r="L87" s="3">
        <v>303400</v>
      </c>
      <c r="M87" s="2">
        <f t="shared" si="100"/>
        <v>7681.012658227848</v>
      </c>
      <c r="N87" s="1">
        <f t="shared" si="101"/>
        <v>32.58045732239156</v>
      </c>
      <c r="O87" s="3">
        <v>12640</v>
      </c>
      <c r="P87" s="1">
        <f t="shared" si="102"/>
        <v>842.6666666666666</v>
      </c>
      <c r="Q87" s="4">
        <f t="shared" si="103"/>
        <v>6.650019592362454</v>
      </c>
      <c r="R87" s="1">
        <f t="shared" si="24"/>
        <v>4349.744950198582</v>
      </c>
      <c r="S87" s="1">
        <f t="shared" si="81"/>
        <v>656.129350908</v>
      </c>
      <c r="T87" s="8">
        <f t="shared" si="82"/>
        <v>2.698495559215387</v>
      </c>
      <c r="U87" s="8">
        <f t="shared" si="83"/>
        <v>2.2437314790238814</v>
      </c>
      <c r="V87" s="8"/>
      <c r="W87" s="1">
        <f t="shared" si="84"/>
        <v>44.93333333333333</v>
      </c>
      <c r="X87" s="4">
        <f t="shared" si="85"/>
        <v>4.017857142857143</v>
      </c>
      <c r="Y87" s="4">
        <f t="shared" si="86"/>
        <v>114.3</v>
      </c>
      <c r="Z87" s="2">
        <f t="shared" si="87"/>
        <v>571.5</v>
      </c>
      <c r="AA87" s="6">
        <f t="shared" si="88"/>
        <v>0.0035478348095129807</v>
      </c>
      <c r="AB87" s="1">
        <f t="shared" si="89"/>
        <v>18290.286</v>
      </c>
      <c r="AC87" s="4">
        <f t="shared" si="90"/>
        <v>596.8724771662147</v>
      </c>
      <c r="AD87" s="8"/>
      <c r="AE87" s="2">
        <f t="shared" si="91"/>
        <v>6236.196351658731</v>
      </c>
      <c r="AF87" s="2">
        <f t="shared" si="92"/>
        <v>9354.294527488097</v>
      </c>
      <c r="AG87" s="1">
        <f t="shared" si="93"/>
        <v>1910.477330264672</v>
      </c>
      <c r="AH87" s="1">
        <f t="shared" si="94"/>
        <v>2865.715995397008</v>
      </c>
      <c r="AI87" s="1">
        <f t="shared" si="95"/>
        <v>286.31098948712724</v>
      </c>
      <c r="AJ87" s="1">
        <f t="shared" si="96"/>
        <v>229.81818181818176</v>
      </c>
      <c r="AK87" s="1">
        <f t="shared" si="105"/>
        <v>429.46648423069087</v>
      </c>
      <c r="AL87" s="1">
        <f t="shared" si="106"/>
        <v>344.72727272727263</v>
      </c>
      <c r="AM87" s="1">
        <f t="shared" si="97"/>
        <v>1439.8065985827104</v>
      </c>
      <c r="AN87" s="1">
        <f t="shared" si="28"/>
        <v>2159.7098978740655</v>
      </c>
      <c r="AO87" s="1">
        <f t="shared" si="98"/>
        <v>2116.251168520519</v>
      </c>
      <c r="AP87" s="1">
        <f t="shared" si="29"/>
        <v>3174.3767527807786</v>
      </c>
      <c r="AQ87" s="1">
        <f t="shared" si="30"/>
        <v>8699.489900397164</v>
      </c>
      <c r="AR87" s="1">
        <f t="shared" si="99"/>
        <v>1312.258701816</v>
      </c>
    </row>
    <row r="88" spans="2:44" ht="12.75" outlineLevel="1">
      <c r="B88" s="11" t="s">
        <v>76</v>
      </c>
      <c r="C88" s="3">
        <v>900</v>
      </c>
      <c r="D88" s="3">
        <v>890</v>
      </c>
      <c r="E88" s="3">
        <v>300</v>
      </c>
      <c r="F88" s="3">
        <v>16</v>
      </c>
      <c r="G88" s="3">
        <v>30</v>
      </c>
      <c r="H88" s="3">
        <v>30</v>
      </c>
      <c r="I88" s="3">
        <f t="shared" si="104"/>
        <v>770</v>
      </c>
      <c r="J88" s="3"/>
      <c r="K88" s="1">
        <f t="shared" si="32"/>
        <v>320.52566611769186</v>
      </c>
      <c r="L88" s="3">
        <v>422100</v>
      </c>
      <c r="M88" s="2">
        <f t="shared" si="100"/>
        <v>9485.393258426966</v>
      </c>
      <c r="N88" s="1">
        <f t="shared" si="101"/>
        <v>36.289106091702116</v>
      </c>
      <c r="O88" s="3">
        <v>13550</v>
      </c>
      <c r="P88" s="1">
        <f t="shared" si="102"/>
        <v>903.3333333333334</v>
      </c>
      <c r="Q88" s="4">
        <f t="shared" si="103"/>
        <v>6.501869401813166</v>
      </c>
      <c r="R88" s="1">
        <f t="shared" si="24"/>
        <v>5405.519048881043</v>
      </c>
      <c r="S88" s="1">
        <f aca="true" t="shared" si="107" ref="S88:S113">((2*(E88/2*G88*E88/4))+(F88/2*(D88-2*G88)*F88/4)+(2*0.2146*H88^2*(F88/2+0.22337*H88)))*1/1000</f>
        <v>707.2387409080001</v>
      </c>
      <c r="T88" s="8">
        <f aca="true" t="shared" si="108" ref="T88:T113">(2*E88+4*G88+2*I88-4*H88/2+2*H88*PI()+2*(E88-F88-2*H88/2))/1000</f>
        <v>2.8964955592153876</v>
      </c>
      <c r="U88" s="8">
        <f aca="true" t="shared" si="109" ref="U88:U113">$T$1*K88/10000</f>
        <v>2.516126479023881</v>
      </c>
      <c r="V88" s="8"/>
      <c r="W88" s="1">
        <f aca="true" t="shared" si="110" ref="W88:W113">(D88-2*G88-2*H88)/F88</f>
        <v>48.125</v>
      </c>
      <c r="X88" s="4">
        <f aca="true" t="shared" si="111" ref="X88:X113">(E88/2-F88/2-H88)/G88</f>
        <v>3.7333333333333334</v>
      </c>
      <c r="Y88" s="4">
        <f aca="true" t="shared" si="112" ref="Y88:Y113">(D88-G88)*F88/100</f>
        <v>137.6</v>
      </c>
      <c r="Z88" s="2">
        <f aca="true" t="shared" si="113" ref="Z88:Z113">0.25*(D88-G88)*E88/100</f>
        <v>645</v>
      </c>
      <c r="AA88" s="6">
        <f aca="true" t="shared" si="114" ref="AA88:AA113">SQRT($G$1/100*AC88/($M$1/100*AB88*10^3))</f>
        <v>0.0033741347661247274</v>
      </c>
      <c r="AB88" s="1">
        <f aca="true" t="shared" si="115" ref="AB88:AB113">G88*E88^3*(D88-G88)^2/24000000000</f>
        <v>24961.5</v>
      </c>
      <c r="AC88" s="4">
        <f aca="true" t="shared" si="116" ref="AC88:AC113">(2/3*G88^3*(E88-0.63*G88)+F88^3/3*(D88-2*G88)+(((H88+F88/2)^2+(H88+G88)^2-H88^2)/(2*H88+G88))^4*2*F88/G88*(0.145+0.1*H88/G88))/10000</f>
        <v>736.7663884534601</v>
      </c>
      <c r="AD88" s="8"/>
      <c r="AE88" s="2">
        <f aca="true" t="shared" si="117" ref="AE88:AE113">24/$AI$1*K88</f>
        <v>6993.28726074964</v>
      </c>
      <c r="AF88" s="2">
        <f aca="true" t="shared" si="118" ref="AF88:AF113">36/$AI$1*K88</f>
        <v>10489.93089112446</v>
      </c>
      <c r="AG88" s="1">
        <f aca="true" t="shared" si="119" ref="AG88:AG113">MAX(24/$AI$1*2*R88,1.14*24/$AI$1*M88)/100</f>
        <v>2359.275995914198</v>
      </c>
      <c r="AH88" s="1">
        <f aca="true" t="shared" si="120" ref="AH88:AH113">1.5*AG88</f>
        <v>3538.913993871297</v>
      </c>
      <c r="AI88" s="1">
        <f aca="true" t="shared" si="121" ref="AI88:AI113">24/$AI$1*2*S88/100</f>
        <v>308.6132687598545</v>
      </c>
      <c r="AJ88" s="1">
        <f aca="true" t="shared" si="122" ref="AJ88:AJ113">1.25*24/$AI$1*P88/100</f>
        <v>246.36363636363637</v>
      </c>
      <c r="AK88" s="1">
        <f t="shared" si="105"/>
        <v>462.9199031397818</v>
      </c>
      <c r="AL88" s="1">
        <f t="shared" si="106"/>
        <v>369.54545454545456</v>
      </c>
      <c r="AM88" s="1">
        <f aca="true" t="shared" si="123" ref="AM88:AM113">24/(SQRT(3)*$AI$1)*(D88-G88)*F88/100</f>
        <v>1733.3104808834728</v>
      </c>
      <c r="AN88" s="1">
        <f t="shared" si="28"/>
        <v>2599.9657213252094</v>
      </c>
      <c r="AO88" s="1">
        <f aca="true" t="shared" si="124" ref="AO88:AO113">24/(SQRT(3)*$AI$1)*2*E88*G88/100</f>
        <v>2267.411966271985</v>
      </c>
      <c r="AP88" s="1">
        <f t="shared" si="29"/>
        <v>3401.1179494079774</v>
      </c>
      <c r="AQ88" s="1">
        <f t="shared" si="30"/>
        <v>10811.038097762086</v>
      </c>
      <c r="AR88" s="1">
        <f aca="true" t="shared" si="125" ref="AR88:AR113">2*S88</f>
        <v>1414.4774818160001</v>
      </c>
    </row>
    <row r="89" spans="1:44" ht="12.75" outlineLevel="1">
      <c r="A89" s="18" t="s">
        <v>158</v>
      </c>
      <c r="B89" s="11" t="s">
        <v>77</v>
      </c>
      <c r="C89" s="3">
        <v>1000</v>
      </c>
      <c r="D89" s="3">
        <v>990</v>
      </c>
      <c r="E89" s="3">
        <v>300</v>
      </c>
      <c r="F89" s="3">
        <v>16.5</v>
      </c>
      <c r="G89" s="3">
        <v>31</v>
      </c>
      <c r="H89" s="3">
        <v>30</v>
      </c>
      <c r="I89" s="3">
        <f aca="true" t="shared" si="126" ref="I89:I112">ROUNDDOWN(D89-2*G89-2*H89,0)</f>
        <v>868</v>
      </c>
      <c r="J89" s="3"/>
      <c r="K89" s="1">
        <f t="shared" si="32"/>
        <v>346.84566611769185</v>
      </c>
      <c r="L89" s="3">
        <v>553800</v>
      </c>
      <c r="M89" s="2">
        <f t="shared" si="100"/>
        <v>11187.878787878788</v>
      </c>
      <c r="N89" s="1">
        <f t="shared" si="101"/>
        <v>39.95842295738675</v>
      </c>
      <c r="O89" s="3">
        <v>14000</v>
      </c>
      <c r="P89" s="1">
        <f t="shared" si="102"/>
        <v>933.3333333333334</v>
      </c>
      <c r="Q89" s="4">
        <f t="shared" si="103"/>
        <v>6.353249071868209</v>
      </c>
      <c r="R89" s="1">
        <f aca="true" t="shared" si="127" ref="R89:R113">((E89*G89*(D89-G89)/2)+((D89-2*G89)*F89/2*(D89/2-G89)/2)+((H89^2-H89^2*PI()/4)*2*(D89/2-G89-0.22337*H89)))*1/1000</f>
        <v>6412.188930869388</v>
      </c>
      <c r="S89" s="1">
        <f t="shared" si="107"/>
        <v>734.856310908</v>
      </c>
      <c r="T89" s="8">
        <f t="shared" si="108"/>
        <v>3.0954955592153874</v>
      </c>
      <c r="U89" s="8">
        <f t="shared" si="109"/>
        <v>2.722738479023881</v>
      </c>
      <c r="V89" s="8"/>
      <c r="W89" s="1">
        <f t="shared" si="110"/>
        <v>52.60606060606061</v>
      </c>
      <c r="X89" s="4">
        <f t="shared" si="111"/>
        <v>3.6048387096774195</v>
      </c>
      <c r="Y89" s="4">
        <f t="shared" si="112"/>
        <v>158.235</v>
      </c>
      <c r="Z89" s="2">
        <f t="shared" si="113"/>
        <v>719.25</v>
      </c>
      <c r="AA89" s="6">
        <f t="shared" si="114"/>
        <v>0.0031448595616738544</v>
      </c>
      <c r="AB89" s="1">
        <f t="shared" si="115"/>
        <v>32073.874875</v>
      </c>
      <c r="AC89" s="4">
        <f t="shared" si="116"/>
        <v>822.4096901064271</v>
      </c>
      <c r="AD89" s="8"/>
      <c r="AE89" s="2">
        <f t="shared" si="117"/>
        <v>7567.541806204185</v>
      </c>
      <c r="AF89" s="2">
        <f t="shared" si="118"/>
        <v>11351.312709306278</v>
      </c>
      <c r="AG89" s="1">
        <f t="shared" si="119"/>
        <v>2798.0460789248236</v>
      </c>
      <c r="AH89" s="1">
        <f t="shared" si="120"/>
        <v>4197.069118387235</v>
      </c>
      <c r="AI89" s="1">
        <f t="shared" si="121"/>
        <v>320.66457203258176</v>
      </c>
      <c r="AJ89" s="1">
        <f t="shared" si="122"/>
        <v>254.54545454545453</v>
      </c>
      <c r="AK89" s="1">
        <f t="shared" si="105"/>
        <v>480.99685804887264</v>
      </c>
      <c r="AL89" s="1">
        <f t="shared" si="106"/>
        <v>381.8181818181818</v>
      </c>
      <c r="AM89" s="1">
        <f t="shared" si="123"/>
        <v>1993.244069350264</v>
      </c>
      <c r="AN89" s="1">
        <f aca="true" t="shared" si="128" ref="AN89:AN113">1.5*AM89</f>
        <v>2989.866104025396</v>
      </c>
      <c r="AO89" s="1">
        <f t="shared" si="124"/>
        <v>2342.9923651477175</v>
      </c>
      <c r="AP89" s="1">
        <f aca="true" t="shared" si="129" ref="AP89:AP113">1.5*AO89</f>
        <v>3514.488547721576</v>
      </c>
      <c r="AQ89" s="1">
        <f aca="true" t="shared" si="130" ref="AQ89:AQ113">2*R89</f>
        <v>12824.377861738776</v>
      </c>
      <c r="AR89" s="1">
        <f t="shared" si="125"/>
        <v>1469.712621816</v>
      </c>
    </row>
    <row r="90" spans="1:44" ht="12.75">
      <c r="A90" s="18" t="s">
        <v>159</v>
      </c>
      <c r="B90" s="16" t="s">
        <v>79</v>
      </c>
      <c r="C90" s="3">
        <v>100</v>
      </c>
      <c r="D90" s="3">
        <v>100</v>
      </c>
      <c r="E90" s="3">
        <v>100</v>
      </c>
      <c r="F90" s="3">
        <v>6</v>
      </c>
      <c r="G90" s="3">
        <v>10</v>
      </c>
      <c r="H90" s="3">
        <v>12</v>
      </c>
      <c r="I90" s="3">
        <f t="shared" si="126"/>
        <v>56</v>
      </c>
      <c r="J90" s="3"/>
      <c r="K90" s="1">
        <f t="shared" si="32"/>
        <v>26.0361065788307</v>
      </c>
      <c r="L90" s="3">
        <v>450</v>
      </c>
      <c r="M90" s="2">
        <f t="shared" si="100"/>
        <v>90</v>
      </c>
      <c r="N90" s="1">
        <f t="shared" si="101"/>
        <v>4.157365775979741</v>
      </c>
      <c r="O90" s="3">
        <v>167</v>
      </c>
      <c r="P90" s="1">
        <f t="shared" si="102"/>
        <v>33.4</v>
      </c>
      <c r="Q90" s="4">
        <f t="shared" si="103"/>
        <v>2.532621067683322</v>
      </c>
      <c r="R90" s="1">
        <f t="shared" si="127"/>
        <v>52.10654768175335</v>
      </c>
      <c r="S90" s="1">
        <f t="shared" si="107"/>
        <v>25.711078458112</v>
      </c>
      <c r="T90" s="8">
        <f t="shared" si="108"/>
        <v>0.567398223686155</v>
      </c>
      <c r="U90" s="8">
        <f t="shared" si="109"/>
        <v>0.204383436643821</v>
      </c>
      <c r="V90" s="8"/>
      <c r="W90" s="1">
        <f t="shared" si="110"/>
        <v>9.333333333333334</v>
      </c>
      <c r="X90" s="4">
        <f t="shared" si="111"/>
        <v>3.5</v>
      </c>
      <c r="Y90" s="4">
        <f t="shared" si="112"/>
        <v>5.4</v>
      </c>
      <c r="Z90" s="2">
        <f t="shared" si="113"/>
        <v>22.5</v>
      </c>
      <c r="AA90" s="6">
        <f t="shared" si="114"/>
        <v>0.032509568478580164</v>
      </c>
      <c r="AB90" s="1">
        <f t="shared" si="115"/>
        <v>3.375</v>
      </c>
      <c r="AC90" s="4">
        <f t="shared" si="116"/>
        <v>9.247630373305563</v>
      </c>
      <c r="AD90" s="8"/>
      <c r="AE90" s="2">
        <f t="shared" si="117"/>
        <v>568.060507174488</v>
      </c>
      <c r="AF90" s="2">
        <f t="shared" si="118"/>
        <v>852.090760761732</v>
      </c>
      <c r="AG90" s="1">
        <f t="shared" si="119"/>
        <v>22.737402624765096</v>
      </c>
      <c r="AH90" s="1">
        <f t="shared" si="120"/>
        <v>34.106103937147644</v>
      </c>
      <c r="AI90" s="1">
        <f t="shared" si="121"/>
        <v>11.219379690812508</v>
      </c>
      <c r="AJ90" s="1">
        <f t="shared" si="122"/>
        <v>9.109090909090908</v>
      </c>
      <c r="AK90" s="1">
        <f t="shared" si="105"/>
        <v>16.82906953621876</v>
      </c>
      <c r="AL90" s="1">
        <f t="shared" si="106"/>
        <v>13.66363636363636</v>
      </c>
      <c r="AM90" s="1">
        <f t="shared" si="123"/>
        <v>68.02235898815954</v>
      </c>
      <c r="AN90" s="1">
        <f t="shared" si="128"/>
        <v>102.03353848223931</v>
      </c>
      <c r="AO90" s="1">
        <f t="shared" si="124"/>
        <v>251.9346629191094</v>
      </c>
      <c r="AP90" s="1">
        <f t="shared" si="129"/>
        <v>377.9019943786641</v>
      </c>
      <c r="AQ90" s="1">
        <f t="shared" si="130"/>
        <v>104.2130953635067</v>
      </c>
      <c r="AR90" s="1">
        <f t="shared" si="125"/>
        <v>51.422156916224</v>
      </c>
    </row>
    <row r="91" spans="2:44" ht="12.75" outlineLevel="1">
      <c r="B91" s="5" t="s">
        <v>80</v>
      </c>
      <c r="C91" s="3">
        <v>120</v>
      </c>
      <c r="D91" s="3">
        <v>120</v>
      </c>
      <c r="E91" s="3">
        <v>120</v>
      </c>
      <c r="F91" s="3">
        <v>6.5</v>
      </c>
      <c r="G91" s="3">
        <v>11</v>
      </c>
      <c r="H91" s="3">
        <v>12</v>
      </c>
      <c r="I91" s="3">
        <f t="shared" si="126"/>
        <v>74</v>
      </c>
      <c r="J91" s="3"/>
      <c r="K91" s="1">
        <f t="shared" si="32"/>
        <v>34.006106578830696</v>
      </c>
      <c r="L91" s="3">
        <v>864</v>
      </c>
      <c r="M91" s="2">
        <f t="shared" si="100"/>
        <v>144</v>
      </c>
      <c r="N91" s="1">
        <f t="shared" si="101"/>
        <v>5.040555667668894</v>
      </c>
      <c r="O91" s="3">
        <v>318</v>
      </c>
      <c r="P91" s="1">
        <f t="shared" si="102"/>
        <v>53</v>
      </c>
      <c r="Q91" s="4">
        <f t="shared" si="103"/>
        <v>3.057983263638773</v>
      </c>
      <c r="R91" s="1">
        <f t="shared" si="127"/>
        <v>82.60604564222717</v>
      </c>
      <c r="S91" s="1">
        <f t="shared" si="107"/>
        <v>40.484092158112</v>
      </c>
      <c r="T91" s="8">
        <f t="shared" si="108"/>
        <v>0.686398223686155</v>
      </c>
      <c r="U91" s="8">
        <f t="shared" si="109"/>
        <v>0.26694793664382094</v>
      </c>
      <c r="V91" s="8"/>
      <c r="W91" s="1">
        <f t="shared" si="110"/>
        <v>11.384615384615385</v>
      </c>
      <c r="X91" s="4">
        <f t="shared" si="111"/>
        <v>4.068181818181818</v>
      </c>
      <c r="Y91" s="4">
        <f t="shared" si="112"/>
        <v>7.085</v>
      </c>
      <c r="Z91" s="2">
        <f t="shared" si="113"/>
        <v>32.7</v>
      </c>
      <c r="AA91" s="6">
        <f t="shared" si="114"/>
        <v>0.023819085118714965</v>
      </c>
      <c r="AB91" s="1">
        <f t="shared" si="115"/>
        <v>9.409752</v>
      </c>
      <c r="AC91" s="4">
        <f t="shared" si="116"/>
        <v>13.84084503159275</v>
      </c>
      <c r="AD91" s="8"/>
      <c r="AE91" s="2">
        <f t="shared" si="117"/>
        <v>741.9514162653969</v>
      </c>
      <c r="AF91" s="2">
        <f t="shared" si="118"/>
        <v>1112.9271243980954</v>
      </c>
      <c r="AG91" s="1">
        <f t="shared" si="119"/>
        <v>36.04627446206277</v>
      </c>
      <c r="AH91" s="1">
        <f t="shared" si="120"/>
        <v>54.06941169309415</v>
      </c>
      <c r="AI91" s="1">
        <f t="shared" si="121"/>
        <v>17.665785668994328</v>
      </c>
      <c r="AJ91" s="1">
        <f t="shared" si="122"/>
        <v>14.454545454545453</v>
      </c>
      <c r="AK91" s="1">
        <f t="shared" si="105"/>
        <v>26.49867850349149</v>
      </c>
      <c r="AL91" s="1">
        <f t="shared" si="106"/>
        <v>21.68181818181818</v>
      </c>
      <c r="AM91" s="1">
        <f t="shared" si="123"/>
        <v>89.2478543390945</v>
      </c>
      <c r="AN91" s="1">
        <f t="shared" si="128"/>
        <v>133.87178150864176</v>
      </c>
      <c r="AO91" s="1">
        <f t="shared" si="124"/>
        <v>332.5537550532244</v>
      </c>
      <c r="AP91" s="1">
        <f t="shared" si="129"/>
        <v>498.83063257983656</v>
      </c>
      <c r="AQ91" s="1">
        <f t="shared" si="130"/>
        <v>165.21209128445435</v>
      </c>
      <c r="AR91" s="1">
        <f t="shared" si="125"/>
        <v>80.968184316224</v>
      </c>
    </row>
    <row r="92" spans="2:44" ht="12.75" outlineLevel="1">
      <c r="B92" s="5" t="s">
        <v>81</v>
      </c>
      <c r="C92" s="3">
        <v>140</v>
      </c>
      <c r="D92" s="3">
        <v>140</v>
      </c>
      <c r="E92" s="3">
        <v>140</v>
      </c>
      <c r="F92" s="3">
        <v>7</v>
      </c>
      <c r="G92" s="3">
        <v>12</v>
      </c>
      <c r="H92" s="3">
        <v>12</v>
      </c>
      <c r="I92" s="3">
        <f t="shared" si="126"/>
        <v>92</v>
      </c>
      <c r="J92" s="3"/>
      <c r="K92" s="1">
        <f t="shared" si="32"/>
        <v>42.95610657883069</v>
      </c>
      <c r="L92" s="3">
        <v>1510</v>
      </c>
      <c r="M92" s="2">
        <f aca="true" t="shared" si="131" ref="M92:M113">2*L92/(D92/10)</f>
        <v>215.71428571428572</v>
      </c>
      <c r="N92" s="4">
        <f aca="true" t="shared" si="132" ref="N92:N113">SQRT(L92/K92)</f>
        <v>5.928925838306497</v>
      </c>
      <c r="O92" s="3">
        <v>550</v>
      </c>
      <c r="P92" s="1">
        <f aca="true" t="shared" si="133" ref="P92:P113">2*O92/(E92/10)</f>
        <v>78.57142857142857</v>
      </c>
      <c r="Q92" s="4">
        <f aca="true" t="shared" si="134" ref="Q92:Q113">SQRT(O92/K92)</f>
        <v>3.578235245032407</v>
      </c>
      <c r="R92" s="2">
        <f t="shared" si="127"/>
        <v>122.71304360270098</v>
      </c>
      <c r="S92" s="1">
        <f t="shared" si="107"/>
        <v>59.892480858112</v>
      </c>
      <c r="T92" s="8">
        <f t="shared" si="108"/>
        <v>0.805398223686155</v>
      </c>
      <c r="U92" s="8">
        <f t="shared" si="109"/>
        <v>0.33720543664382097</v>
      </c>
      <c r="V92" s="8"/>
      <c r="W92" s="1">
        <f t="shared" si="110"/>
        <v>13.142857142857142</v>
      </c>
      <c r="X92" s="4">
        <f t="shared" si="111"/>
        <v>4.541666666666667</v>
      </c>
      <c r="Y92" s="4">
        <f t="shared" si="112"/>
        <v>8.96</v>
      </c>
      <c r="Z92" s="2">
        <f t="shared" si="113"/>
        <v>44.8</v>
      </c>
      <c r="AA92" s="6">
        <f t="shared" si="114"/>
        <v>0.018552381524805973</v>
      </c>
      <c r="AB92" s="1">
        <f t="shared" si="115"/>
        <v>22.478848</v>
      </c>
      <c r="AC92" s="4">
        <f t="shared" si="116"/>
        <v>20.058925263917832</v>
      </c>
      <c r="AD92" s="8"/>
      <c r="AE92" s="2">
        <f t="shared" si="117"/>
        <v>937.2241435381242</v>
      </c>
      <c r="AF92" s="2">
        <f t="shared" si="118"/>
        <v>1405.8362153071862</v>
      </c>
      <c r="AG92" s="1">
        <f t="shared" si="119"/>
        <v>53.65402597402597</v>
      </c>
      <c r="AH92" s="1">
        <f t="shared" si="120"/>
        <v>80.48103896103896</v>
      </c>
      <c r="AI92" s="1">
        <f t="shared" si="121"/>
        <v>26.134900738085236</v>
      </c>
      <c r="AJ92" s="1">
        <f t="shared" si="122"/>
        <v>21.428571428571427</v>
      </c>
      <c r="AK92" s="1">
        <f t="shared" si="105"/>
        <v>39.20235110712785</v>
      </c>
      <c r="AL92" s="1">
        <f t="shared" si="106"/>
        <v>32.14285714285714</v>
      </c>
      <c r="AM92" s="1">
        <f t="shared" si="123"/>
        <v>112.86672898776102</v>
      </c>
      <c r="AN92" s="1">
        <f t="shared" si="128"/>
        <v>169.30009348164154</v>
      </c>
      <c r="AO92" s="1">
        <f t="shared" si="124"/>
        <v>423.25023370410383</v>
      </c>
      <c r="AP92" s="1">
        <f t="shared" si="129"/>
        <v>634.8753505561558</v>
      </c>
      <c r="AQ92" s="1">
        <f t="shared" si="130"/>
        <v>245.42608720540196</v>
      </c>
      <c r="AR92" s="1">
        <f t="shared" si="125"/>
        <v>119.784961716224</v>
      </c>
    </row>
    <row r="93" spans="2:44" ht="12.75" outlineLevel="1">
      <c r="B93" s="5" t="s">
        <v>82</v>
      </c>
      <c r="C93" s="3">
        <v>160</v>
      </c>
      <c r="D93" s="3">
        <v>160</v>
      </c>
      <c r="E93" s="3">
        <v>160</v>
      </c>
      <c r="F93" s="3">
        <v>8</v>
      </c>
      <c r="G93" s="3">
        <v>13</v>
      </c>
      <c r="H93" s="3">
        <v>15</v>
      </c>
      <c r="I93" s="3">
        <f t="shared" si="126"/>
        <v>104</v>
      </c>
      <c r="J93" s="3"/>
      <c r="K93" s="1">
        <f t="shared" si="32"/>
        <v>54.25141652942297</v>
      </c>
      <c r="L93" s="3">
        <v>2490</v>
      </c>
      <c r="M93" s="2">
        <f t="shared" si="131"/>
        <v>311.25</v>
      </c>
      <c r="N93" s="1">
        <f t="shared" si="132"/>
        <v>6.774763396423494</v>
      </c>
      <c r="O93" s="3">
        <v>889</v>
      </c>
      <c r="P93" s="1">
        <f t="shared" si="133"/>
        <v>111.125</v>
      </c>
      <c r="Q93" s="4">
        <f t="shared" si="134"/>
        <v>4.048045071335573</v>
      </c>
      <c r="R93" s="2">
        <f t="shared" si="127"/>
        <v>176.98267999093403</v>
      </c>
      <c r="S93" s="1">
        <f t="shared" si="107"/>
        <v>84.9818426135</v>
      </c>
      <c r="T93" s="8">
        <f t="shared" si="108"/>
        <v>0.9182477796076938</v>
      </c>
      <c r="U93" s="8">
        <f t="shared" si="109"/>
        <v>0.4258736197559703</v>
      </c>
      <c r="V93" s="8"/>
      <c r="W93" s="1">
        <f t="shared" si="110"/>
        <v>13</v>
      </c>
      <c r="X93" s="4">
        <f t="shared" si="111"/>
        <v>4.6923076923076925</v>
      </c>
      <c r="Y93" s="4">
        <f t="shared" si="112"/>
        <v>11.76</v>
      </c>
      <c r="Z93" s="2">
        <f t="shared" si="113"/>
        <v>58.8</v>
      </c>
      <c r="AA93" s="6">
        <f t="shared" si="114"/>
        <v>0.015852834965338833</v>
      </c>
      <c r="AB93" s="1">
        <f t="shared" si="115"/>
        <v>47.943168</v>
      </c>
      <c r="AC93" s="4">
        <f t="shared" si="116"/>
        <v>31.237400143857172</v>
      </c>
      <c r="AD93" s="8"/>
      <c r="AE93" s="2">
        <f t="shared" si="117"/>
        <v>1183.6672697328647</v>
      </c>
      <c r="AF93" s="2">
        <f t="shared" si="118"/>
        <v>1775.5009045992972</v>
      </c>
      <c r="AG93" s="1">
        <f t="shared" si="119"/>
        <v>77.41636363636363</v>
      </c>
      <c r="AH93" s="1">
        <f t="shared" si="120"/>
        <v>116.12454545454544</v>
      </c>
      <c r="AI93" s="1">
        <f t="shared" si="121"/>
        <v>37.08298586770909</v>
      </c>
      <c r="AJ93" s="1">
        <f t="shared" si="122"/>
        <v>30.30681818181818</v>
      </c>
      <c r="AK93" s="1">
        <f t="shared" si="105"/>
        <v>55.62447880156364</v>
      </c>
      <c r="AL93" s="1">
        <f t="shared" si="106"/>
        <v>45.460227272727266</v>
      </c>
      <c r="AM93" s="1">
        <f t="shared" si="123"/>
        <v>148.13758179643634</v>
      </c>
      <c r="AN93" s="1">
        <f t="shared" si="128"/>
        <v>222.2063726946545</v>
      </c>
      <c r="AO93" s="1">
        <f t="shared" si="124"/>
        <v>524.0240988717476</v>
      </c>
      <c r="AP93" s="1">
        <f t="shared" si="129"/>
        <v>786.0361483076214</v>
      </c>
      <c r="AQ93" s="1">
        <f t="shared" si="130"/>
        <v>353.96535998186806</v>
      </c>
      <c r="AR93" s="1">
        <f t="shared" si="125"/>
        <v>169.963685227</v>
      </c>
    </row>
    <row r="94" spans="2:44" ht="12.75" outlineLevel="1">
      <c r="B94" s="5" t="s">
        <v>83</v>
      </c>
      <c r="C94" s="3">
        <v>180</v>
      </c>
      <c r="D94" s="3">
        <v>180</v>
      </c>
      <c r="E94" s="3">
        <v>180</v>
      </c>
      <c r="F94" s="3">
        <v>8.5</v>
      </c>
      <c r="G94" s="3">
        <v>14</v>
      </c>
      <c r="H94" s="3">
        <v>15</v>
      </c>
      <c r="I94" s="3">
        <f t="shared" si="126"/>
        <v>122</v>
      </c>
      <c r="J94" s="3"/>
      <c r="K94" s="3">
        <f t="shared" si="32"/>
        <v>65.25141652942297</v>
      </c>
      <c r="L94" s="3">
        <v>3830</v>
      </c>
      <c r="M94" s="2">
        <f t="shared" si="131"/>
        <v>425.55555555555554</v>
      </c>
      <c r="N94" s="1">
        <f t="shared" si="132"/>
        <v>7.6613343328561765</v>
      </c>
      <c r="O94" s="3">
        <v>1360</v>
      </c>
      <c r="P94" s="1">
        <f t="shared" si="133"/>
        <v>151.11111111111111</v>
      </c>
      <c r="Q94" s="4">
        <f t="shared" si="134"/>
        <v>4.565354247258146</v>
      </c>
      <c r="R94" s="2">
        <f t="shared" si="127"/>
        <v>240.72381742917437</v>
      </c>
      <c r="S94" s="1">
        <f t="shared" si="107"/>
        <v>115.5067351135</v>
      </c>
      <c r="T94" s="8">
        <f t="shared" si="108"/>
        <v>1.0372477796076938</v>
      </c>
      <c r="U94" s="8">
        <f t="shared" si="109"/>
        <v>0.5122236197559703</v>
      </c>
      <c r="V94" s="8"/>
      <c r="W94" s="1">
        <f t="shared" si="110"/>
        <v>14.352941176470589</v>
      </c>
      <c r="X94" s="4">
        <f t="shared" si="111"/>
        <v>5.053571428571429</v>
      </c>
      <c r="Y94" s="4">
        <f t="shared" si="112"/>
        <v>14.11</v>
      </c>
      <c r="Z94" s="2">
        <f t="shared" si="113"/>
        <v>74.7</v>
      </c>
      <c r="AA94" s="6">
        <f t="shared" si="114"/>
        <v>0.013171385003607579</v>
      </c>
      <c r="AB94" s="1">
        <f t="shared" si="115"/>
        <v>93.745512</v>
      </c>
      <c r="AC94" s="4">
        <f t="shared" si="116"/>
        <v>42.164567525939404</v>
      </c>
      <c r="AD94" s="8"/>
      <c r="AE94" s="2">
        <f t="shared" si="117"/>
        <v>1423.6672697328647</v>
      </c>
      <c r="AF94" s="2">
        <f t="shared" si="118"/>
        <v>2135.500904599297</v>
      </c>
      <c r="AG94" s="1">
        <f t="shared" si="119"/>
        <v>105.84727272727272</v>
      </c>
      <c r="AH94" s="1">
        <f t="shared" si="120"/>
        <v>158.77090909090907</v>
      </c>
      <c r="AI94" s="1">
        <f t="shared" si="121"/>
        <v>50.40293895861818</v>
      </c>
      <c r="AJ94" s="1">
        <f t="shared" si="122"/>
        <v>41.21212121212121</v>
      </c>
      <c r="AK94" s="1">
        <f t="shared" si="105"/>
        <v>75.60440843792728</v>
      </c>
      <c r="AL94" s="1">
        <f t="shared" si="106"/>
        <v>61.81818181818181</v>
      </c>
      <c r="AM94" s="1">
        <f t="shared" si="123"/>
        <v>177.73990468943168</v>
      </c>
      <c r="AN94" s="1">
        <f t="shared" si="128"/>
        <v>266.6098570341475</v>
      </c>
      <c r="AO94" s="1">
        <f t="shared" si="124"/>
        <v>634.8753505561557</v>
      </c>
      <c r="AP94" s="1">
        <f t="shared" si="129"/>
        <v>952.3130258342335</v>
      </c>
      <c r="AQ94" s="1">
        <f t="shared" si="130"/>
        <v>481.44763485834875</v>
      </c>
      <c r="AR94" s="1">
        <f t="shared" si="125"/>
        <v>231.013470227</v>
      </c>
    </row>
    <row r="95" spans="2:44" ht="12.75" outlineLevel="1">
      <c r="B95" s="5" t="s">
        <v>84</v>
      </c>
      <c r="C95" s="3">
        <v>200</v>
      </c>
      <c r="D95" s="3">
        <v>200</v>
      </c>
      <c r="E95" s="3">
        <v>200</v>
      </c>
      <c r="F95" s="3">
        <v>9</v>
      </c>
      <c r="G95" s="3">
        <v>15</v>
      </c>
      <c r="H95" s="3">
        <v>18</v>
      </c>
      <c r="I95" s="3">
        <f t="shared" si="126"/>
        <v>134</v>
      </c>
      <c r="J95" s="3"/>
      <c r="K95" s="3">
        <f t="shared" si="32"/>
        <v>78.08123980236907</v>
      </c>
      <c r="L95" s="3">
        <v>5700</v>
      </c>
      <c r="M95" s="2">
        <f t="shared" si="131"/>
        <v>570</v>
      </c>
      <c r="N95" s="1">
        <f t="shared" si="132"/>
        <v>8.544055830060906</v>
      </c>
      <c r="O95" s="3">
        <v>2000</v>
      </c>
      <c r="P95" s="1">
        <f t="shared" si="133"/>
        <v>200</v>
      </c>
      <c r="Q95" s="4">
        <f t="shared" si="134"/>
        <v>5.061061882447608</v>
      </c>
      <c r="R95" s="2">
        <f t="shared" si="127"/>
        <v>321.2736481788789</v>
      </c>
      <c r="S95" s="1">
        <f t="shared" si="107"/>
        <v>152.906139796128</v>
      </c>
      <c r="T95" s="8">
        <f t="shared" si="108"/>
        <v>1.1510973355292327</v>
      </c>
      <c r="U95" s="8">
        <f t="shared" si="109"/>
        <v>0.6129377324485972</v>
      </c>
      <c r="V95" s="8"/>
      <c r="W95" s="1">
        <f t="shared" si="110"/>
        <v>14.88888888888889</v>
      </c>
      <c r="X95" s="4">
        <f t="shared" si="111"/>
        <v>5.166666666666667</v>
      </c>
      <c r="Y95" s="4">
        <f t="shared" si="112"/>
        <v>16.65</v>
      </c>
      <c r="Z95" s="2">
        <f t="shared" si="113"/>
        <v>92.5</v>
      </c>
      <c r="AA95" s="6">
        <f t="shared" si="114"/>
        <v>0.01155937528494003</v>
      </c>
      <c r="AB95" s="1">
        <f t="shared" si="115"/>
        <v>171.125</v>
      </c>
      <c r="AC95" s="4">
        <f t="shared" si="116"/>
        <v>59.281128764859425</v>
      </c>
      <c r="AD95" s="8"/>
      <c r="AE95" s="2">
        <f t="shared" si="117"/>
        <v>1703.5906865971433</v>
      </c>
      <c r="AF95" s="2">
        <f t="shared" si="118"/>
        <v>2555.3860298957147</v>
      </c>
      <c r="AG95" s="1">
        <f t="shared" si="119"/>
        <v>141.77454545454543</v>
      </c>
      <c r="AH95" s="1">
        <f t="shared" si="120"/>
        <v>212.66181818181815</v>
      </c>
      <c r="AI95" s="1">
        <f t="shared" si="121"/>
        <v>66.72267918376494</v>
      </c>
      <c r="AJ95" s="1">
        <f t="shared" si="122"/>
        <v>54.54545454545454</v>
      </c>
      <c r="AK95" s="1">
        <f t="shared" si="105"/>
        <v>100.08401877564741</v>
      </c>
      <c r="AL95" s="1">
        <f t="shared" si="106"/>
        <v>81.81818181818181</v>
      </c>
      <c r="AM95" s="1">
        <f t="shared" si="123"/>
        <v>209.73560688015857</v>
      </c>
      <c r="AN95" s="1">
        <f t="shared" si="128"/>
        <v>314.60341032023786</v>
      </c>
      <c r="AO95" s="1">
        <f t="shared" si="124"/>
        <v>755.8039887573282</v>
      </c>
      <c r="AP95" s="1">
        <f t="shared" si="129"/>
        <v>1133.7059831359923</v>
      </c>
      <c r="AQ95" s="1">
        <f t="shared" si="130"/>
        <v>642.5472963577578</v>
      </c>
      <c r="AR95" s="1">
        <f t="shared" si="125"/>
        <v>305.812279592256</v>
      </c>
    </row>
    <row r="96" spans="2:44" ht="12.75" outlineLevel="1">
      <c r="B96" s="5" t="s">
        <v>85</v>
      </c>
      <c r="C96" s="3">
        <v>220</v>
      </c>
      <c r="D96" s="3">
        <v>220</v>
      </c>
      <c r="E96" s="3">
        <v>220</v>
      </c>
      <c r="F96" s="3">
        <v>9.5</v>
      </c>
      <c r="G96" s="3">
        <v>16</v>
      </c>
      <c r="H96" s="3">
        <v>18</v>
      </c>
      <c r="I96" s="3">
        <f t="shared" si="126"/>
        <v>152</v>
      </c>
      <c r="J96" s="3"/>
      <c r="K96" s="3">
        <f t="shared" si="32"/>
        <v>91.04123980236908</v>
      </c>
      <c r="L96" s="3">
        <v>8090</v>
      </c>
      <c r="M96" s="2">
        <f t="shared" si="131"/>
        <v>735.4545454545455</v>
      </c>
      <c r="N96" s="1">
        <f t="shared" si="132"/>
        <v>9.426602173550213</v>
      </c>
      <c r="O96" s="3">
        <v>2840</v>
      </c>
      <c r="P96" s="1">
        <f t="shared" si="133"/>
        <v>258.1818181818182</v>
      </c>
      <c r="Q96" s="4">
        <f t="shared" si="134"/>
        <v>5.585217477465083</v>
      </c>
      <c r="R96" s="2">
        <f t="shared" si="127"/>
        <v>413.523706089945</v>
      </c>
      <c r="S96" s="1">
        <f t="shared" si="107"/>
        <v>196.940529996128</v>
      </c>
      <c r="T96" s="8">
        <f t="shared" si="108"/>
        <v>1.2700973355292327</v>
      </c>
      <c r="U96" s="8">
        <f t="shared" si="109"/>
        <v>0.7146737324485972</v>
      </c>
      <c r="V96" s="8"/>
      <c r="W96" s="1">
        <f t="shared" si="110"/>
        <v>16</v>
      </c>
      <c r="X96" s="4">
        <f t="shared" si="111"/>
        <v>5.453125</v>
      </c>
      <c r="Y96" s="4">
        <f t="shared" si="112"/>
        <v>19.38</v>
      </c>
      <c r="Z96" s="2">
        <f t="shared" si="113"/>
        <v>112.2</v>
      </c>
      <c r="AA96" s="6">
        <f t="shared" si="114"/>
        <v>0.009998572055272778</v>
      </c>
      <c r="AB96" s="1">
        <f t="shared" si="115"/>
        <v>295.418112</v>
      </c>
      <c r="AC96" s="4">
        <f t="shared" si="116"/>
        <v>76.56800922726183</v>
      </c>
      <c r="AD96" s="8"/>
      <c r="AE96" s="2">
        <f t="shared" si="117"/>
        <v>1986.3543229607797</v>
      </c>
      <c r="AF96" s="2">
        <f t="shared" si="118"/>
        <v>2979.5314844411696</v>
      </c>
      <c r="AG96" s="1">
        <f t="shared" si="119"/>
        <v>182.9276033057851</v>
      </c>
      <c r="AH96" s="1">
        <f t="shared" si="120"/>
        <v>274.39140495867764</v>
      </c>
      <c r="AI96" s="1">
        <f t="shared" si="121"/>
        <v>85.9376858164922</v>
      </c>
      <c r="AJ96" s="1">
        <f t="shared" si="122"/>
        <v>70.41322314049586</v>
      </c>
      <c r="AK96" s="1">
        <f t="shared" si="105"/>
        <v>128.9065287247383</v>
      </c>
      <c r="AL96" s="1">
        <f t="shared" si="106"/>
        <v>105.61983471074379</v>
      </c>
      <c r="AM96" s="1">
        <f t="shared" si="123"/>
        <v>244.124688368617</v>
      </c>
      <c r="AN96" s="1">
        <f t="shared" si="128"/>
        <v>366.18703255292553</v>
      </c>
      <c r="AO96" s="1">
        <f t="shared" si="124"/>
        <v>886.8100134752651</v>
      </c>
      <c r="AP96" s="1">
        <f t="shared" si="129"/>
        <v>1330.2150202128978</v>
      </c>
      <c r="AQ96" s="1">
        <f t="shared" si="130"/>
        <v>827.04741217989</v>
      </c>
      <c r="AR96" s="1">
        <f t="shared" si="125"/>
        <v>393.881059992256</v>
      </c>
    </row>
    <row r="97" spans="2:44" ht="12.75" outlineLevel="1">
      <c r="B97" s="5" t="s">
        <v>86</v>
      </c>
      <c r="C97" s="3">
        <v>240</v>
      </c>
      <c r="D97" s="3">
        <v>240</v>
      </c>
      <c r="E97" s="3">
        <v>240</v>
      </c>
      <c r="F97" s="3">
        <v>10</v>
      </c>
      <c r="G97" s="3">
        <v>17</v>
      </c>
      <c r="H97" s="3">
        <v>21</v>
      </c>
      <c r="I97" s="3">
        <f t="shared" si="126"/>
        <v>164</v>
      </c>
      <c r="J97" s="3"/>
      <c r="K97" s="3">
        <f t="shared" si="32"/>
        <v>105.985576397669</v>
      </c>
      <c r="L97" s="3">
        <v>11260</v>
      </c>
      <c r="M97" s="2">
        <f t="shared" si="131"/>
        <v>938.3333333333334</v>
      </c>
      <c r="N97" s="1">
        <f t="shared" si="132"/>
        <v>10.307321255906706</v>
      </c>
      <c r="O97" s="3">
        <v>3920</v>
      </c>
      <c r="P97" s="1">
        <f t="shared" si="133"/>
        <v>326.6666666666667</v>
      </c>
      <c r="Q97" s="4">
        <f t="shared" si="134"/>
        <v>6.0816251813592075</v>
      </c>
      <c r="R97" s="2">
        <f t="shared" si="127"/>
        <v>526.5728550380506</v>
      </c>
      <c r="S97" s="1">
        <f t="shared" si="107"/>
        <v>249.209241811444</v>
      </c>
      <c r="T97" s="8">
        <f t="shared" si="108"/>
        <v>1.3839468914507713</v>
      </c>
      <c r="U97" s="8">
        <f t="shared" si="109"/>
        <v>0.8319867747217017</v>
      </c>
      <c r="V97" s="8"/>
      <c r="W97" s="1">
        <f t="shared" si="110"/>
        <v>16.4</v>
      </c>
      <c r="X97" s="4">
        <f t="shared" si="111"/>
        <v>5.529411764705882</v>
      </c>
      <c r="Y97" s="4">
        <f t="shared" si="112"/>
        <v>22.3</v>
      </c>
      <c r="Z97" s="2">
        <f t="shared" si="113"/>
        <v>133.8</v>
      </c>
      <c r="AA97" s="6">
        <f t="shared" si="114"/>
        <v>0.00901877073481501</v>
      </c>
      <c r="AB97" s="1">
        <f t="shared" si="115"/>
        <v>486.946368</v>
      </c>
      <c r="AC97" s="4">
        <f t="shared" si="116"/>
        <v>102.685731346829</v>
      </c>
      <c r="AD97" s="8"/>
      <c r="AE97" s="2">
        <f t="shared" si="117"/>
        <v>2312.4125759491417</v>
      </c>
      <c r="AF97" s="2">
        <f t="shared" si="118"/>
        <v>3468.618863923713</v>
      </c>
      <c r="AG97" s="1">
        <f t="shared" si="119"/>
        <v>233.38909090909092</v>
      </c>
      <c r="AH97" s="1">
        <f t="shared" si="120"/>
        <v>350.0836363636364</v>
      </c>
      <c r="AI97" s="1">
        <f t="shared" si="121"/>
        <v>108.74585097226647</v>
      </c>
      <c r="AJ97" s="1">
        <f t="shared" si="122"/>
        <v>89.09090909090908</v>
      </c>
      <c r="AK97" s="1">
        <f t="shared" si="105"/>
        <v>163.1187764583997</v>
      </c>
      <c r="AL97" s="1">
        <f t="shared" si="106"/>
        <v>133.63636363636363</v>
      </c>
      <c r="AM97" s="1">
        <f t="shared" si="123"/>
        <v>280.907149154807</v>
      </c>
      <c r="AN97" s="1">
        <f t="shared" si="128"/>
        <v>421.36072373221043</v>
      </c>
      <c r="AO97" s="1">
        <f t="shared" si="124"/>
        <v>1027.8934247099664</v>
      </c>
      <c r="AP97" s="1">
        <f t="shared" si="129"/>
        <v>1541.8401370649497</v>
      </c>
      <c r="AQ97" s="1">
        <f t="shared" si="130"/>
        <v>1053.1457100761013</v>
      </c>
      <c r="AR97" s="1">
        <f t="shared" si="125"/>
        <v>498.418483622888</v>
      </c>
    </row>
    <row r="98" spans="2:44" ht="12.75" outlineLevel="1">
      <c r="B98" s="5" t="s">
        <v>87</v>
      </c>
      <c r="C98" s="3">
        <v>260</v>
      </c>
      <c r="D98" s="3">
        <v>260</v>
      </c>
      <c r="E98" s="3">
        <v>260</v>
      </c>
      <c r="F98" s="3">
        <v>10</v>
      </c>
      <c r="G98" s="3">
        <v>17.5</v>
      </c>
      <c r="H98" s="3">
        <v>24</v>
      </c>
      <c r="I98" s="3">
        <f t="shared" si="126"/>
        <v>177</v>
      </c>
      <c r="J98" s="3"/>
      <c r="K98" s="3">
        <f t="shared" si="32"/>
        <v>118.4444263153228</v>
      </c>
      <c r="L98" s="3">
        <v>14920</v>
      </c>
      <c r="M98" s="2">
        <f t="shared" si="131"/>
        <v>1147.6923076923076</v>
      </c>
      <c r="N98" s="1">
        <f t="shared" si="132"/>
        <v>11.223468633781092</v>
      </c>
      <c r="O98" s="3">
        <v>5130</v>
      </c>
      <c r="P98" s="1">
        <f t="shared" si="133"/>
        <v>394.61538461538464</v>
      </c>
      <c r="Q98" s="4">
        <f t="shared" si="134"/>
        <v>6.581143615069061</v>
      </c>
      <c r="R98" s="2">
        <f t="shared" si="127"/>
        <v>641.4558242164263</v>
      </c>
      <c r="S98" s="1">
        <f t="shared" si="107"/>
        <v>301.12390846489603</v>
      </c>
      <c r="T98" s="8">
        <f t="shared" si="108"/>
        <v>1.49879644737231</v>
      </c>
      <c r="U98" s="8">
        <f t="shared" si="109"/>
        <v>0.929788746575284</v>
      </c>
      <c r="V98" s="8"/>
      <c r="W98" s="1">
        <f t="shared" si="110"/>
        <v>17.7</v>
      </c>
      <c r="X98" s="4">
        <f t="shared" si="111"/>
        <v>5.771428571428571</v>
      </c>
      <c r="Y98" s="4">
        <f t="shared" si="112"/>
        <v>24.25</v>
      </c>
      <c r="Z98" s="2">
        <f t="shared" si="113"/>
        <v>157.625</v>
      </c>
      <c r="AA98" s="6">
        <f t="shared" si="114"/>
        <v>0.007959208922691885</v>
      </c>
      <c r="AB98" s="1">
        <f t="shared" si="115"/>
        <v>753.6510989583334</v>
      </c>
      <c r="AC98" s="4">
        <f t="shared" si="116"/>
        <v>123.77827388519792</v>
      </c>
      <c r="AD98" s="8"/>
      <c r="AE98" s="2">
        <f t="shared" si="117"/>
        <v>2584.242028697952</v>
      </c>
      <c r="AF98" s="2">
        <f t="shared" si="118"/>
        <v>3876.363043046928</v>
      </c>
      <c r="AG98" s="1">
        <f t="shared" si="119"/>
        <v>285.4623776223776</v>
      </c>
      <c r="AH98" s="1">
        <f t="shared" si="120"/>
        <v>428.1935664335664</v>
      </c>
      <c r="AI98" s="1">
        <f t="shared" si="121"/>
        <v>131.3995236937728</v>
      </c>
      <c r="AJ98" s="1">
        <f t="shared" si="122"/>
        <v>107.62237762237763</v>
      </c>
      <c r="AK98" s="1">
        <f t="shared" si="105"/>
        <v>197.0992855406592</v>
      </c>
      <c r="AL98" s="1">
        <f t="shared" si="106"/>
        <v>161.43356643356645</v>
      </c>
      <c r="AM98" s="1">
        <f t="shared" si="123"/>
        <v>305.47077878942014</v>
      </c>
      <c r="AN98" s="1">
        <f t="shared" si="128"/>
        <v>458.2061681841302</v>
      </c>
      <c r="AO98" s="1">
        <f t="shared" si="124"/>
        <v>1146.3027162819478</v>
      </c>
      <c r="AP98" s="1">
        <f t="shared" si="129"/>
        <v>1719.4540744229216</v>
      </c>
      <c r="AQ98" s="1">
        <f t="shared" si="130"/>
        <v>1282.9116484328526</v>
      </c>
      <c r="AR98" s="1">
        <f t="shared" si="125"/>
        <v>602.2478169297921</v>
      </c>
    </row>
    <row r="99" spans="2:44" ht="12.75" outlineLevel="1">
      <c r="B99" s="5" t="s">
        <v>88</v>
      </c>
      <c r="C99" s="3">
        <v>280</v>
      </c>
      <c r="D99" s="3">
        <v>280</v>
      </c>
      <c r="E99" s="3">
        <v>280</v>
      </c>
      <c r="F99" s="3">
        <v>10.5</v>
      </c>
      <c r="G99" s="3">
        <v>18</v>
      </c>
      <c r="H99" s="3">
        <v>24</v>
      </c>
      <c r="I99" s="3">
        <f t="shared" si="126"/>
        <v>196</v>
      </c>
      <c r="J99" s="3"/>
      <c r="K99" s="3">
        <f t="shared" si="32"/>
        <v>131.3644263153228</v>
      </c>
      <c r="L99" s="3">
        <v>19270</v>
      </c>
      <c r="M99" s="2">
        <f t="shared" si="131"/>
        <v>1376.4285714285713</v>
      </c>
      <c r="N99" s="1">
        <f t="shared" si="132"/>
        <v>12.111612584588325</v>
      </c>
      <c r="O99" s="3">
        <v>6590</v>
      </c>
      <c r="P99" s="1">
        <f t="shared" si="133"/>
        <v>470.7142857142857</v>
      </c>
      <c r="Q99" s="4">
        <f t="shared" si="134"/>
        <v>7.082781113007956</v>
      </c>
      <c r="R99" s="2">
        <f t="shared" si="127"/>
        <v>767.2166767162046</v>
      </c>
      <c r="S99" s="1">
        <f t="shared" si="107"/>
        <v>358.78583826489603</v>
      </c>
      <c r="T99" s="8">
        <f t="shared" si="108"/>
        <v>1.61779644737231</v>
      </c>
      <c r="U99" s="8">
        <f t="shared" si="109"/>
        <v>1.0312107465752838</v>
      </c>
      <c r="V99" s="8"/>
      <c r="W99" s="1">
        <f t="shared" si="110"/>
        <v>18.666666666666668</v>
      </c>
      <c r="X99" s="4">
        <f t="shared" si="111"/>
        <v>6.152777777777778</v>
      </c>
      <c r="Y99" s="4">
        <f t="shared" si="112"/>
        <v>27.51</v>
      </c>
      <c r="Z99" s="2">
        <f t="shared" si="113"/>
        <v>183.4</v>
      </c>
      <c r="AA99" s="6">
        <f t="shared" si="114"/>
        <v>0.007003533071332703</v>
      </c>
      <c r="AB99" s="1">
        <f t="shared" si="115"/>
        <v>1130.154816</v>
      </c>
      <c r="AC99" s="4">
        <f t="shared" si="116"/>
        <v>143.71648391180267</v>
      </c>
      <c r="AD99" s="8"/>
      <c r="AE99" s="2">
        <f t="shared" si="117"/>
        <v>2866.1329377888605</v>
      </c>
      <c r="AF99" s="2">
        <f t="shared" si="118"/>
        <v>4299.199406683291</v>
      </c>
      <c r="AG99" s="1">
        <f t="shared" si="119"/>
        <v>342.35532467532465</v>
      </c>
      <c r="AH99" s="1">
        <f t="shared" si="120"/>
        <v>513.532987012987</v>
      </c>
      <c r="AI99" s="1">
        <f t="shared" si="121"/>
        <v>156.5610930610455</v>
      </c>
      <c r="AJ99" s="1">
        <f t="shared" si="122"/>
        <v>128.37662337662334</v>
      </c>
      <c r="AK99" s="1">
        <f t="shared" si="105"/>
        <v>234.84163959156825</v>
      </c>
      <c r="AL99" s="1">
        <f t="shared" si="106"/>
        <v>192.564935064935</v>
      </c>
      <c r="AM99" s="1">
        <f t="shared" si="123"/>
        <v>346.536128845235</v>
      </c>
      <c r="AN99" s="1">
        <f t="shared" si="128"/>
        <v>519.8041932678525</v>
      </c>
      <c r="AO99" s="1">
        <f t="shared" si="124"/>
        <v>1269.7507011123116</v>
      </c>
      <c r="AP99" s="1">
        <f t="shared" si="129"/>
        <v>1904.6260516684674</v>
      </c>
      <c r="AQ99" s="1">
        <f t="shared" si="130"/>
        <v>1534.4333534324091</v>
      </c>
      <c r="AR99" s="1">
        <f t="shared" si="125"/>
        <v>717.5716765297921</v>
      </c>
    </row>
    <row r="100" spans="2:44" ht="12.75" outlineLevel="1">
      <c r="B100" s="5" t="s">
        <v>89</v>
      </c>
      <c r="C100" s="3">
        <v>300</v>
      </c>
      <c r="D100" s="3">
        <v>300</v>
      </c>
      <c r="E100" s="3">
        <v>300</v>
      </c>
      <c r="F100" s="3">
        <v>11</v>
      </c>
      <c r="G100" s="3">
        <v>19</v>
      </c>
      <c r="H100" s="3">
        <v>27</v>
      </c>
      <c r="I100" s="3">
        <f t="shared" si="126"/>
        <v>208</v>
      </c>
      <c r="J100" s="3"/>
      <c r="K100" s="3">
        <f t="shared" si="32"/>
        <v>149.0777895553304</v>
      </c>
      <c r="L100" s="3">
        <v>25170</v>
      </c>
      <c r="M100" s="2">
        <f t="shared" si="131"/>
        <v>1678</v>
      </c>
      <c r="N100" s="1">
        <f t="shared" si="132"/>
        <v>12.993768812482124</v>
      </c>
      <c r="O100" s="3">
        <v>8560</v>
      </c>
      <c r="P100" s="1">
        <f t="shared" si="133"/>
        <v>570.6666666666666</v>
      </c>
      <c r="Q100" s="4">
        <f t="shared" si="134"/>
        <v>7.577577904576444</v>
      </c>
      <c r="R100" s="2">
        <f t="shared" si="127"/>
        <v>934.3369882758991</v>
      </c>
      <c r="S100" s="1">
        <f t="shared" si="107"/>
        <v>435.070644561932</v>
      </c>
      <c r="T100" s="8">
        <f t="shared" si="108"/>
        <v>1.731646003293849</v>
      </c>
      <c r="U100" s="8">
        <f t="shared" si="109"/>
        <v>1.1702606480093438</v>
      </c>
      <c r="V100" s="8"/>
      <c r="W100" s="1">
        <f t="shared" si="110"/>
        <v>18.90909090909091</v>
      </c>
      <c r="X100" s="4">
        <f t="shared" si="111"/>
        <v>6.184210526315789</v>
      </c>
      <c r="Y100" s="4">
        <f t="shared" si="112"/>
        <v>30.91</v>
      </c>
      <c r="Z100" s="2">
        <f t="shared" si="113"/>
        <v>210.75</v>
      </c>
      <c r="AA100" s="6">
        <f t="shared" si="114"/>
        <v>0.006502983293113264</v>
      </c>
      <c r="AB100" s="1">
        <f t="shared" si="115"/>
        <v>1687.791375</v>
      </c>
      <c r="AC100" s="4">
        <f t="shared" si="116"/>
        <v>185.0454093915536</v>
      </c>
      <c r="AD100" s="8"/>
      <c r="AE100" s="2">
        <f t="shared" si="117"/>
        <v>3252.606317570845</v>
      </c>
      <c r="AF100" s="2">
        <f t="shared" si="118"/>
        <v>4878.909476356268</v>
      </c>
      <c r="AG100" s="1">
        <f t="shared" si="119"/>
        <v>417.36436363636363</v>
      </c>
      <c r="AH100" s="1">
        <f t="shared" si="120"/>
        <v>626.0465454545455</v>
      </c>
      <c r="AI100" s="1">
        <f t="shared" si="121"/>
        <v>189.84900853611578</v>
      </c>
      <c r="AJ100" s="1">
        <f t="shared" si="122"/>
        <v>155.6363636363636</v>
      </c>
      <c r="AK100" s="1">
        <f t="shared" si="105"/>
        <v>284.77351280417366</v>
      </c>
      <c r="AL100" s="1">
        <f t="shared" si="106"/>
        <v>233.45454545454538</v>
      </c>
      <c r="AM100" s="1">
        <f t="shared" si="123"/>
        <v>389.3650215414836</v>
      </c>
      <c r="AN100" s="1">
        <f t="shared" si="128"/>
        <v>584.0475323122254</v>
      </c>
      <c r="AO100" s="1">
        <f t="shared" si="124"/>
        <v>1436.0275786389236</v>
      </c>
      <c r="AP100" s="1">
        <f t="shared" si="129"/>
        <v>2154.0413679583853</v>
      </c>
      <c r="AQ100" s="1">
        <f t="shared" si="130"/>
        <v>1868.6739765517982</v>
      </c>
      <c r="AR100" s="1">
        <f t="shared" si="125"/>
        <v>870.141289123864</v>
      </c>
    </row>
    <row r="101" spans="2:44" ht="12.75" outlineLevel="1">
      <c r="B101" s="5" t="s">
        <v>90</v>
      </c>
      <c r="C101" s="3">
        <v>320</v>
      </c>
      <c r="D101" s="3">
        <v>320</v>
      </c>
      <c r="E101" s="3">
        <v>300</v>
      </c>
      <c r="F101" s="3">
        <v>11.5</v>
      </c>
      <c r="G101" s="3">
        <v>20.5</v>
      </c>
      <c r="H101" s="3">
        <v>27</v>
      </c>
      <c r="I101" s="3">
        <f t="shared" si="126"/>
        <v>225</v>
      </c>
      <c r="J101" s="3"/>
      <c r="K101" s="3">
        <f t="shared" si="32"/>
        <v>161.34278955533043</v>
      </c>
      <c r="L101" s="3">
        <v>30820</v>
      </c>
      <c r="M101" s="2">
        <f t="shared" si="131"/>
        <v>1926.25</v>
      </c>
      <c r="N101" s="1">
        <f t="shared" si="132"/>
        <v>13.821065859662802</v>
      </c>
      <c r="O101" s="3">
        <v>9240</v>
      </c>
      <c r="P101" s="1">
        <f t="shared" si="133"/>
        <v>616</v>
      </c>
      <c r="Q101" s="4">
        <f t="shared" si="134"/>
        <v>7.567652908675776</v>
      </c>
      <c r="R101" s="2">
        <f t="shared" si="127"/>
        <v>1074.6199863369145</v>
      </c>
      <c r="S101" s="1">
        <f t="shared" si="107"/>
        <v>469.548335011932</v>
      </c>
      <c r="T101" s="8">
        <f t="shared" si="108"/>
        <v>1.770646003293849</v>
      </c>
      <c r="U101" s="8">
        <f t="shared" si="109"/>
        <v>1.2665408980093438</v>
      </c>
      <c r="V101" s="8"/>
      <c r="W101" s="1">
        <f t="shared" si="110"/>
        <v>19.565217391304348</v>
      </c>
      <c r="X101" s="4">
        <f t="shared" si="111"/>
        <v>5.719512195121951</v>
      </c>
      <c r="Y101" s="4">
        <f t="shared" si="112"/>
        <v>34.4425</v>
      </c>
      <c r="Z101" s="2">
        <f t="shared" si="113"/>
        <v>224.625</v>
      </c>
      <c r="AA101" s="6">
        <f t="shared" si="114"/>
        <v>0.006477999888101638</v>
      </c>
      <c r="AB101" s="1">
        <f t="shared" si="115"/>
        <v>2068.712015625</v>
      </c>
      <c r="AC101" s="4">
        <f t="shared" si="116"/>
        <v>225.06926109934813</v>
      </c>
      <c r="AD101" s="8"/>
      <c r="AE101" s="2">
        <f t="shared" si="117"/>
        <v>3520.2063175708454</v>
      </c>
      <c r="AF101" s="2">
        <f t="shared" si="118"/>
        <v>5280.3094763562685</v>
      </c>
      <c r="AG101" s="1">
        <f t="shared" si="119"/>
        <v>479.11090909090905</v>
      </c>
      <c r="AH101" s="1">
        <f t="shared" si="120"/>
        <v>718.6663636363636</v>
      </c>
      <c r="AI101" s="1">
        <f t="shared" si="121"/>
        <v>204.89381891429758</v>
      </c>
      <c r="AJ101" s="1">
        <f t="shared" si="122"/>
        <v>168</v>
      </c>
      <c r="AK101" s="1">
        <f t="shared" si="105"/>
        <v>307.3407283714464</v>
      </c>
      <c r="AL101" s="1">
        <f t="shared" si="106"/>
        <v>252</v>
      </c>
      <c r="AM101" s="1">
        <f t="shared" si="123"/>
        <v>433.8629813795713</v>
      </c>
      <c r="AN101" s="1">
        <f t="shared" si="128"/>
        <v>650.794472069357</v>
      </c>
      <c r="AO101" s="1">
        <f t="shared" si="124"/>
        <v>1549.398176952523</v>
      </c>
      <c r="AP101" s="1">
        <f t="shared" si="129"/>
        <v>2324.0972654287843</v>
      </c>
      <c r="AQ101" s="1">
        <f t="shared" si="130"/>
        <v>2149.239972673829</v>
      </c>
      <c r="AR101" s="1">
        <f t="shared" si="125"/>
        <v>939.096670023864</v>
      </c>
    </row>
    <row r="102" spans="2:44" ht="12.75" outlineLevel="1">
      <c r="B102" s="5" t="s">
        <v>91</v>
      </c>
      <c r="C102" s="3">
        <v>340</v>
      </c>
      <c r="D102" s="3">
        <v>340</v>
      </c>
      <c r="E102" s="3">
        <v>300</v>
      </c>
      <c r="F102" s="3">
        <v>12</v>
      </c>
      <c r="G102" s="3">
        <v>21.5</v>
      </c>
      <c r="H102" s="3">
        <v>27</v>
      </c>
      <c r="I102" s="3">
        <f t="shared" si="126"/>
        <v>243</v>
      </c>
      <c r="J102" s="3"/>
      <c r="K102" s="3">
        <f t="shared" si="32"/>
        <v>170.8977895553304</v>
      </c>
      <c r="L102" s="3">
        <v>36660</v>
      </c>
      <c r="M102" s="2">
        <f t="shared" si="131"/>
        <v>2156.470588235294</v>
      </c>
      <c r="N102" s="1">
        <f t="shared" si="132"/>
        <v>14.646302766844276</v>
      </c>
      <c r="O102" s="3">
        <v>9690</v>
      </c>
      <c r="P102" s="1">
        <f t="shared" si="133"/>
        <v>646</v>
      </c>
      <c r="Q102" s="4">
        <f t="shared" si="134"/>
        <v>7.529977279630299</v>
      </c>
      <c r="R102" s="2">
        <f t="shared" si="127"/>
        <v>1204.0530541368132</v>
      </c>
      <c r="S102" s="1">
        <f t="shared" si="107"/>
        <v>492.86033796193203</v>
      </c>
      <c r="T102" s="8">
        <f t="shared" si="108"/>
        <v>1.8096460032938488</v>
      </c>
      <c r="U102" s="8">
        <f t="shared" si="109"/>
        <v>1.3415476480093438</v>
      </c>
      <c r="V102" s="8"/>
      <c r="W102" s="1">
        <f t="shared" si="110"/>
        <v>20.25</v>
      </c>
      <c r="X102" s="4">
        <f t="shared" si="111"/>
        <v>5.441860465116279</v>
      </c>
      <c r="Y102" s="4">
        <f t="shared" si="112"/>
        <v>38.22</v>
      </c>
      <c r="Z102" s="2">
        <f t="shared" si="113"/>
        <v>238.875</v>
      </c>
      <c r="AA102" s="6">
        <f t="shared" si="114"/>
        <v>0.006358680651591553</v>
      </c>
      <c r="AB102" s="1">
        <f t="shared" si="115"/>
        <v>2453.634421875</v>
      </c>
      <c r="AC102" s="4">
        <f t="shared" si="116"/>
        <v>257.2042615203522</v>
      </c>
      <c r="AD102" s="8"/>
      <c r="AE102" s="2">
        <f t="shared" si="117"/>
        <v>3728.6790448435722</v>
      </c>
      <c r="AF102" s="2">
        <f t="shared" si="118"/>
        <v>5593.018567265359</v>
      </c>
      <c r="AG102" s="1">
        <f t="shared" si="119"/>
        <v>536.3730481283422</v>
      </c>
      <c r="AH102" s="1">
        <f t="shared" si="120"/>
        <v>804.5595721925133</v>
      </c>
      <c r="AI102" s="1">
        <f t="shared" si="121"/>
        <v>215.06632929247942</v>
      </c>
      <c r="AJ102" s="1">
        <f t="shared" si="122"/>
        <v>176.18181818181816</v>
      </c>
      <c r="AK102" s="1">
        <f t="shared" si="105"/>
        <v>322.59949393871915</v>
      </c>
      <c r="AL102" s="1">
        <f t="shared" si="106"/>
        <v>264.27272727272725</v>
      </c>
      <c r="AM102" s="1">
        <f t="shared" si="123"/>
        <v>481.4471408384181</v>
      </c>
      <c r="AN102" s="1">
        <f t="shared" si="128"/>
        <v>722.1707112576271</v>
      </c>
      <c r="AO102" s="1">
        <f t="shared" si="124"/>
        <v>1624.9785758282558</v>
      </c>
      <c r="AP102" s="1">
        <f t="shared" si="129"/>
        <v>2437.4678637423835</v>
      </c>
      <c r="AQ102" s="1">
        <f t="shared" si="130"/>
        <v>2408.1061082736264</v>
      </c>
      <c r="AR102" s="1">
        <f t="shared" si="125"/>
        <v>985.7206759238641</v>
      </c>
    </row>
    <row r="103" spans="2:44" ht="12.75" outlineLevel="1">
      <c r="B103" s="5" t="s">
        <v>92</v>
      </c>
      <c r="C103" s="3">
        <v>360</v>
      </c>
      <c r="D103" s="3">
        <v>360</v>
      </c>
      <c r="E103" s="3">
        <v>300</v>
      </c>
      <c r="F103" s="3">
        <v>12.5</v>
      </c>
      <c r="G103" s="3">
        <v>22.5</v>
      </c>
      <c r="H103" s="3">
        <v>27</v>
      </c>
      <c r="I103" s="3">
        <f t="shared" si="126"/>
        <v>261</v>
      </c>
      <c r="J103" s="3"/>
      <c r="K103" s="3">
        <f t="shared" si="32"/>
        <v>180.63278955533042</v>
      </c>
      <c r="L103" s="3">
        <v>43190</v>
      </c>
      <c r="M103" s="2">
        <f t="shared" si="131"/>
        <v>2399.4444444444443</v>
      </c>
      <c r="N103" s="1">
        <f t="shared" si="132"/>
        <v>15.462984038059757</v>
      </c>
      <c r="O103" s="3">
        <v>10140</v>
      </c>
      <c r="P103" s="1">
        <f t="shared" si="133"/>
        <v>676</v>
      </c>
      <c r="Q103" s="4">
        <f t="shared" si="134"/>
        <v>7.4923953051262</v>
      </c>
      <c r="R103" s="2">
        <f t="shared" si="127"/>
        <v>1341.4946219367118</v>
      </c>
      <c r="S103" s="1">
        <f t="shared" si="107"/>
        <v>516.244903411932</v>
      </c>
      <c r="T103" s="8">
        <f t="shared" si="108"/>
        <v>1.848646003293849</v>
      </c>
      <c r="U103" s="8">
        <f t="shared" si="109"/>
        <v>1.4179673980093437</v>
      </c>
      <c r="V103" s="8"/>
      <c r="W103" s="1">
        <f t="shared" si="110"/>
        <v>20.88</v>
      </c>
      <c r="X103" s="4">
        <f t="shared" si="111"/>
        <v>5.188888888888889</v>
      </c>
      <c r="Y103" s="4">
        <f t="shared" si="112"/>
        <v>42.1875</v>
      </c>
      <c r="Z103" s="2">
        <f t="shared" si="113"/>
        <v>253.125</v>
      </c>
      <c r="AA103" s="6">
        <f t="shared" si="114"/>
        <v>0.006254886785935626</v>
      </c>
      <c r="AB103" s="1">
        <f t="shared" si="115"/>
        <v>2883.251953125</v>
      </c>
      <c r="AC103" s="4">
        <f t="shared" si="116"/>
        <v>292.4527957338316</v>
      </c>
      <c r="AD103" s="8"/>
      <c r="AE103" s="2">
        <f t="shared" si="117"/>
        <v>3941.0790448435723</v>
      </c>
      <c r="AF103" s="2">
        <f t="shared" si="118"/>
        <v>5911.618567265359</v>
      </c>
      <c r="AG103" s="1">
        <f t="shared" si="119"/>
        <v>596.8072727272727</v>
      </c>
      <c r="AH103" s="1">
        <f t="shared" si="120"/>
        <v>895.210909090909</v>
      </c>
      <c r="AI103" s="1">
        <f t="shared" si="121"/>
        <v>225.27050330702485</v>
      </c>
      <c r="AJ103" s="1">
        <f t="shared" si="122"/>
        <v>184.36363636363637</v>
      </c>
      <c r="AK103" s="1">
        <f t="shared" si="105"/>
        <v>337.90575496053725</v>
      </c>
      <c r="AL103" s="1">
        <f t="shared" si="106"/>
        <v>276.54545454545456</v>
      </c>
      <c r="AM103" s="1">
        <f t="shared" si="123"/>
        <v>531.4246795949964</v>
      </c>
      <c r="AN103" s="1">
        <f t="shared" si="128"/>
        <v>797.1370193924946</v>
      </c>
      <c r="AO103" s="1">
        <f t="shared" si="124"/>
        <v>1700.5589747039887</v>
      </c>
      <c r="AP103" s="1">
        <f t="shared" si="129"/>
        <v>2550.838462055983</v>
      </c>
      <c r="AQ103" s="1">
        <f t="shared" si="130"/>
        <v>2682.9892438734237</v>
      </c>
      <c r="AR103" s="1">
        <f t="shared" si="125"/>
        <v>1032.489806823864</v>
      </c>
    </row>
    <row r="104" spans="2:44" ht="12.75" outlineLevel="1">
      <c r="B104" s="5" t="s">
        <v>93</v>
      </c>
      <c r="C104" s="3">
        <v>400</v>
      </c>
      <c r="D104" s="3">
        <v>400</v>
      </c>
      <c r="E104" s="3">
        <v>300</v>
      </c>
      <c r="F104" s="3">
        <v>13.5</v>
      </c>
      <c r="G104" s="3">
        <v>24</v>
      </c>
      <c r="H104" s="3">
        <v>27</v>
      </c>
      <c r="I104" s="3">
        <f t="shared" si="126"/>
        <v>298</v>
      </c>
      <c r="J104" s="3"/>
      <c r="K104" s="3">
        <f t="shared" si="32"/>
        <v>197.77778955533043</v>
      </c>
      <c r="L104" s="3">
        <v>57680</v>
      </c>
      <c r="M104" s="2">
        <f t="shared" si="131"/>
        <v>2884</v>
      </c>
      <c r="N104" s="1">
        <f t="shared" si="132"/>
        <v>17.077483189017716</v>
      </c>
      <c r="O104" s="3">
        <v>10820</v>
      </c>
      <c r="P104" s="1">
        <f t="shared" si="133"/>
        <v>721.3333333333334</v>
      </c>
      <c r="Q104" s="4">
        <f t="shared" si="134"/>
        <v>7.396476317187644</v>
      </c>
      <c r="R104" s="2">
        <f t="shared" si="127"/>
        <v>1615.8695147753926</v>
      </c>
      <c r="S104" s="1">
        <f t="shared" si="107"/>
        <v>552.0180030619321</v>
      </c>
      <c r="T104" s="8">
        <f t="shared" si="108"/>
        <v>1.9266460032938488</v>
      </c>
      <c r="U104" s="8">
        <f t="shared" si="109"/>
        <v>1.5525556480093439</v>
      </c>
      <c r="V104" s="8"/>
      <c r="W104" s="1">
        <f t="shared" si="110"/>
        <v>22.074074074074073</v>
      </c>
      <c r="X104" s="4">
        <f t="shared" si="111"/>
        <v>4.84375</v>
      </c>
      <c r="Y104" s="4">
        <f t="shared" si="112"/>
        <v>50.76</v>
      </c>
      <c r="Z104" s="2">
        <f t="shared" si="113"/>
        <v>282</v>
      </c>
      <c r="AA104" s="6">
        <f t="shared" si="114"/>
        <v>0.005995609452075798</v>
      </c>
      <c r="AB104" s="1">
        <f t="shared" si="115"/>
        <v>3817.152</v>
      </c>
      <c r="AC104" s="4">
        <f t="shared" si="116"/>
        <v>355.7463075636816</v>
      </c>
      <c r="AD104" s="8"/>
      <c r="AE104" s="2">
        <f t="shared" si="117"/>
        <v>4315.1517721163</v>
      </c>
      <c r="AF104" s="2">
        <f t="shared" si="118"/>
        <v>6472.72765817445</v>
      </c>
      <c r="AG104" s="1">
        <f t="shared" si="119"/>
        <v>717.3294545454545</v>
      </c>
      <c r="AH104" s="1">
        <f t="shared" si="120"/>
        <v>1075.9941818181817</v>
      </c>
      <c r="AI104" s="1">
        <f t="shared" si="121"/>
        <v>240.8805831542976</v>
      </c>
      <c r="AJ104" s="1">
        <f t="shared" si="122"/>
        <v>196.72727272727272</v>
      </c>
      <c r="AK104" s="1">
        <f t="shared" si="105"/>
        <v>361.3208747314464</v>
      </c>
      <c r="AL104" s="1">
        <f t="shared" si="106"/>
        <v>295.09090909090907</v>
      </c>
      <c r="AM104" s="1">
        <f t="shared" si="123"/>
        <v>639.4101744886997</v>
      </c>
      <c r="AN104" s="1">
        <f t="shared" si="128"/>
        <v>959.1152617330495</v>
      </c>
      <c r="AO104" s="1">
        <f t="shared" si="124"/>
        <v>1813.929573017588</v>
      </c>
      <c r="AP104" s="1">
        <f t="shared" si="129"/>
        <v>2720.894359526382</v>
      </c>
      <c r="AQ104" s="1">
        <f t="shared" si="130"/>
        <v>3231.7390295507853</v>
      </c>
      <c r="AR104" s="1">
        <f t="shared" si="125"/>
        <v>1104.0360061238641</v>
      </c>
    </row>
    <row r="105" spans="2:44" ht="12.75" outlineLevel="1">
      <c r="B105" s="5" t="s">
        <v>94</v>
      </c>
      <c r="C105" s="3">
        <v>450</v>
      </c>
      <c r="D105" s="3">
        <v>450</v>
      </c>
      <c r="E105" s="3">
        <v>300</v>
      </c>
      <c r="F105" s="3">
        <v>14</v>
      </c>
      <c r="G105" s="3">
        <v>26</v>
      </c>
      <c r="H105" s="3">
        <v>27</v>
      </c>
      <c r="I105" s="3">
        <f t="shared" si="126"/>
        <v>344</v>
      </c>
      <c r="J105" s="3"/>
      <c r="K105" s="3">
        <f t="shared" si="32"/>
        <v>217.97778955533042</v>
      </c>
      <c r="L105" s="3">
        <v>79890</v>
      </c>
      <c r="M105" s="2">
        <f t="shared" si="131"/>
        <v>3550.6666666666665</v>
      </c>
      <c r="N105" s="1">
        <f t="shared" si="132"/>
        <v>19.144326326035046</v>
      </c>
      <c r="O105" s="3">
        <v>11720</v>
      </c>
      <c r="P105" s="1">
        <f t="shared" si="133"/>
        <v>781.3333333333334</v>
      </c>
      <c r="Q105" s="4">
        <f t="shared" si="134"/>
        <v>7.332594753256316</v>
      </c>
      <c r="R105" s="2">
        <f t="shared" si="127"/>
        <v>1991.1849727640224</v>
      </c>
      <c r="S105" s="1">
        <f t="shared" si="107"/>
        <v>598.828224761932</v>
      </c>
      <c r="T105" s="8">
        <f t="shared" si="108"/>
        <v>2.025646003293849</v>
      </c>
      <c r="U105" s="8">
        <f t="shared" si="109"/>
        <v>1.7111256480093437</v>
      </c>
      <c r="V105" s="8"/>
      <c r="W105" s="1">
        <f t="shared" si="110"/>
        <v>24.571428571428573</v>
      </c>
      <c r="X105" s="4">
        <f t="shared" si="111"/>
        <v>4.461538461538462</v>
      </c>
      <c r="Y105" s="4">
        <f t="shared" si="112"/>
        <v>59.36</v>
      </c>
      <c r="Z105" s="2">
        <f t="shared" si="113"/>
        <v>318</v>
      </c>
      <c r="AA105" s="6">
        <f t="shared" si="114"/>
        <v>0.00568414190368917</v>
      </c>
      <c r="AB105" s="1">
        <f t="shared" si="115"/>
        <v>5258.448</v>
      </c>
      <c r="AC105" s="4">
        <f t="shared" si="116"/>
        <v>440.4754241412464</v>
      </c>
      <c r="AD105" s="8"/>
      <c r="AE105" s="2">
        <f t="shared" si="117"/>
        <v>4755.879044843572</v>
      </c>
      <c r="AF105" s="2">
        <f t="shared" si="118"/>
        <v>7133.818567265359</v>
      </c>
      <c r="AG105" s="1">
        <f t="shared" si="119"/>
        <v>883.1476363636363</v>
      </c>
      <c r="AH105" s="1">
        <f t="shared" si="120"/>
        <v>1324.7214545454544</v>
      </c>
      <c r="AI105" s="1">
        <f t="shared" si="121"/>
        <v>261.3068617142976</v>
      </c>
      <c r="AJ105" s="1">
        <f t="shared" si="122"/>
        <v>213.0909090909091</v>
      </c>
      <c r="AK105" s="1">
        <f t="shared" si="105"/>
        <v>391.9602925714464</v>
      </c>
      <c r="AL105" s="1">
        <f t="shared" si="106"/>
        <v>319.6363636363636</v>
      </c>
      <c r="AM105" s="1">
        <f t="shared" si="123"/>
        <v>747.7420795439166</v>
      </c>
      <c r="AN105" s="1">
        <f t="shared" si="128"/>
        <v>1121.6131193158749</v>
      </c>
      <c r="AO105" s="1">
        <f t="shared" si="124"/>
        <v>1965.0903707690534</v>
      </c>
      <c r="AP105" s="1">
        <f t="shared" si="129"/>
        <v>2947.63555615358</v>
      </c>
      <c r="AQ105" s="1">
        <f t="shared" si="130"/>
        <v>3982.369945528045</v>
      </c>
      <c r="AR105" s="1">
        <f t="shared" si="125"/>
        <v>1197.656449523864</v>
      </c>
    </row>
    <row r="106" spans="2:44" ht="12.75" outlineLevel="1">
      <c r="B106" s="5" t="s">
        <v>95</v>
      </c>
      <c r="C106" s="3">
        <v>500</v>
      </c>
      <c r="D106" s="3">
        <v>500</v>
      </c>
      <c r="E106" s="3">
        <v>300</v>
      </c>
      <c r="F106" s="3">
        <v>14.5</v>
      </c>
      <c r="G106" s="3">
        <v>28</v>
      </c>
      <c r="H106" s="3">
        <v>27</v>
      </c>
      <c r="I106" s="3">
        <f t="shared" si="126"/>
        <v>390</v>
      </c>
      <c r="J106" s="3"/>
      <c r="K106" s="3">
        <f t="shared" si="32"/>
        <v>238.63778955533041</v>
      </c>
      <c r="L106" s="3">
        <v>107200</v>
      </c>
      <c r="M106" s="2">
        <f t="shared" si="131"/>
        <v>4288</v>
      </c>
      <c r="N106" s="1">
        <f t="shared" si="132"/>
        <v>21.194724896203045</v>
      </c>
      <c r="O106" s="3">
        <v>12620</v>
      </c>
      <c r="P106" s="1">
        <f t="shared" si="133"/>
        <v>841.3333333333334</v>
      </c>
      <c r="Q106" s="4">
        <f t="shared" si="134"/>
        <v>7.272103789836598</v>
      </c>
      <c r="R106" s="2">
        <f t="shared" si="127"/>
        <v>2407.2834307526523</v>
      </c>
      <c r="S106" s="1">
        <f t="shared" si="107"/>
        <v>645.8243214619321</v>
      </c>
      <c r="T106" s="8">
        <f t="shared" si="108"/>
        <v>2.124646003293849</v>
      </c>
      <c r="U106" s="8">
        <f t="shared" si="109"/>
        <v>1.8733066480093439</v>
      </c>
      <c r="V106" s="8"/>
      <c r="W106" s="1">
        <f t="shared" si="110"/>
        <v>26.896551724137932</v>
      </c>
      <c r="X106" s="4">
        <f t="shared" si="111"/>
        <v>4.133928571428571</v>
      </c>
      <c r="Y106" s="4">
        <f t="shared" si="112"/>
        <v>68.44</v>
      </c>
      <c r="Z106" s="2">
        <f t="shared" si="113"/>
        <v>354</v>
      </c>
      <c r="AA106" s="6">
        <f t="shared" si="114"/>
        <v>0.005440077589711307</v>
      </c>
      <c r="AB106" s="1">
        <f t="shared" si="115"/>
        <v>7017.696</v>
      </c>
      <c r="AC106" s="4">
        <f t="shared" si="116"/>
        <v>538.4421066339269</v>
      </c>
      <c r="AD106" s="8"/>
      <c r="AE106" s="2">
        <f t="shared" si="117"/>
        <v>5206.642681207209</v>
      </c>
      <c r="AF106" s="2">
        <f t="shared" si="118"/>
        <v>7809.964021810813</v>
      </c>
      <c r="AG106" s="1">
        <f t="shared" si="119"/>
        <v>1066.5425454545452</v>
      </c>
      <c r="AH106" s="1">
        <f t="shared" si="120"/>
        <v>1599.8138181818179</v>
      </c>
      <c r="AI106" s="1">
        <f t="shared" si="121"/>
        <v>281.8142493652067</v>
      </c>
      <c r="AJ106" s="1">
        <f t="shared" si="122"/>
        <v>229.45454545454544</v>
      </c>
      <c r="AK106" s="1">
        <f t="shared" si="105"/>
        <v>422.72137404781006</v>
      </c>
      <c r="AL106" s="1">
        <f t="shared" si="106"/>
        <v>344.18181818181813</v>
      </c>
      <c r="AM106" s="1">
        <f t="shared" si="123"/>
        <v>862.1204165091923</v>
      </c>
      <c r="AN106" s="1">
        <f t="shared" si="128"/>
        <v>1293.1806247637885</v>
      </c>
      <c r="AO106" s="1">
        <f t="shared" si="124"/>
        <v>2116.251168520519</v>
      </c>
      <c r="AP106" s="1">
        <f t="shared" si="129"/>
        <v>3174.3767527807786</v>
      </c>
      <c r="AQ106" s="1">
        <f t="shared" si="130"/>
        <v>4814.566861505305</v>
      </c>
      <c r="AR106" s="1">
        <f t="shared" si="125"/>
        <v>1291.6486429238641</v>
      </c>
    </row>
    <row r="107" spans="2:44" ht="12.75" outlineLevel="1">
      <c r="B107" s="5" t="s">
        <v>96</v>
      </c>
      <c r="C107" s="3">
        <v>550</v>
      </c>
      <c r="D107" s="3">
        <v>550</v>
      </c>
      <c r="E107" s="3">
        <v>300</v>
      </c>
      <c r="F107" s="3">
        <v>15</v>
      </c>
      <c r="G107" s="3">
        <v>29</v>
      </c>
      <c r="H107" s="3">
        <v>27</v>
      </c>
      <c r="I107" s="3">
        <f t="shared" si="126"/>
        <v>438</v>
      </c>
      <c r="J107" s="3"/>
      <c r="K107" s="3">
        <f t="shared" si="32"/>
        <v>254.05778955533043</v>
      </c>
      <c r="L107" s="3">
        <v>136700</v>
      </c>
      <c r="M107" s="2">
        <f t="shared" si="131"/>
        <v>4970.909090909091</v>
      </c>
      <c r="N107" s="1">
        <f t="shared" si="132"/>
        <v>23.196261694213653</v>
      </c>
      <c r="O107" s="3">
        <v>13080</v>
      </c>
      <c r="P107" s="1">
        <f t="shared" si="133"/>
        <v>872</v>
      </c>
      <c r="Q107" s="4">
        <f t="shared" si="134"/>
        <v>7.17525953393344</v>
      </c>
      <c r="R107" s="2">
        <f t="shared" si="127"/>
        <v>2795.303778219049</v>
      </c>
      <c r="S107" s="1">
        <f t="shared" si="107"/>
        <v>670.5711681619321</v>
      </c>
      <c r="T107" s="8">
        <f t="shared" si="108"/>
        <v>2.2236460032938488</v>
      </c>
      <c r="U107" s="8">
        <f t="shared" si="109"/>
        <v>1.994353648009344</v>
      </c>
      <c r="V107" s="8"/>
      <c r="W107" s="1">
        <f t="shared" si="110"/>
        <v>29.2</v>
      </c>
      <c r="X107" s="4">
        <f t="shared" si="111"/>
        <v>3.9827586206896552</v>
      </c>
      <c r="Y107" s="4">
        <f t="shared" si="112"/>
        <v>78.15</v>
      </c>
      <c r="Z107" s="2">
        <f t="shared" si="113"/>
        <v>390.75</v>
      </c>
      <c r="AA107" s="6">
        <f t="shared" si="114"/>
        <v>0.005113469223993704</v>
      </c>
      <c r="AB107" s="1">
        <f t="shared" si="115"/>
        <v>8855.762625</v>
      </c>
      <c r="AC107" s="4">
        <f t="shared" si="116"/>
        <v>600.3320582597833</v>
      </c>
      <c r="AD107" s="8"/>
      <c r="AE107" s="2">
        <f t="shared" si="117"/>
        <v>5543.079044843573</v>
      </c>
      <c r="AF107" s="2">
        <f t="shared" si="118"/>
        <v>8314.61856726536</v>
      </c>
      <c r="AG107" s="1">
        <f t="shared" si="119"/>
        <v>1236.4006611570248</v>
      </c>
      <c r="AH107" s="1">
        <f t="shared" si="120"/>
        <v>1854.6009917355373</v>
      </c>
      <c r="AI107" s="1">
        <f t="shared" si="121"/>
        <v>292.61287337975216</v>
      </c>
      <c r="AJ107" s="1">
        <f t="shared" si="122"/>
        <v>237.8181818181818</v>
      </c>
      <c r="AK107" s="1">
        <f t="shared" si="105"/>
        <v>438.91931006962824</v>
      </c>
      <c r="AL107" s="1">
        <f t="shared" si="106"/>
        <v>356.72727272727275</v>
      </c>
      <c r="AM107" s="1">
        <f t="shared" si="123"/>
        <v>984.4346953564201</v>
      </c>
      <c r="AN107" s="1">
        <f t="shared" si="128"/>
        <v>1476.6520430346302</v>
      </c>
      <c r="AO107" s="1">
        <f t="shared" si="124"/>
        <v>2191.831567396252</v>
      </c>
      <c r="AP107" s="1">
        <f t="shared" si="129"/>
        <v>3287.7473510943782</v>
      </c>
      <c r="AQ107" s="1">
        <f t="shared" si="130"/>
        <v>5590.607556438098</v>
      </c>
      <c r="AR107" s="1">
        <f t="shared" si="125"/>
        <v>1341.1423363238641</v>
      </c>
    </row>
    <row r="108" spans="2:44" ht="12.75" outlineLevel="1">
      <c r="B108" s="5" t="s">
        <v>97</v>
      </c>
      <c r="C108" s="3">
        <v>600</v>
      </c>
      <c r="D108" s="3">
        <v>600</v>
      </c>
      <c r="E108" s="3">
        <v>300</v>
      </c>
      <c r="F108" s="3">
        <v>15.5</v>
      </c>
      <c r="G108" s="3">
        <v>30</v>
      </c>
      <c r="H108" s="3">
        <v>27</v>
      </c>
      <c r="I108" s="3">
        <f t="shared" si="126"/>
        <v>486</v>
      </c>
      <c r="J108" s="3"/>
      <c r="K108" s="3">
        <f t="shared" si="32"/>
        <v>269.9577895553304</v>
      </c>
      <c r="L108" s="3">
        <v>171000</v>
      </c>
      <c r="M108" s="2">
        <f t="shared" si="131"/>
        <v>5700</v>
      </c>
      <c r="N108" s="1">
        <f t="shared" si="132"/>
        <v>25.168082186948215</v>
      </c>
      <c r="O108" s="3">
        <v>13530</v>
      </c>
      <c r="P108" s="1">
        <f t="shared" si="133"/>
        <v>902</v>
      </c>
      <c r="Q108" s="4">
        <f t="shared" si="134"/>
        <v>7.079473600177897</v>
      </c>
      <c r="R108" s="2">
        <f t="shared" si="127"/>
        <v>3212.5681256854455</v>
      </c>
      <c r="S108" s="1">
        <f t="shared" si="107"/>
        <v>695.528764861932</v>
      </c>
      <c r="T108" s="8">
        <f t="shared" si="108"/>
        <v>2.322646003293849</v>
      </c>
      <c r="U108" s="8">
        <f t="shared" si="109"/>
        <v>2.1191686480093437</v>
      </c>
      <c r="V108" s="8"/>
      <c r="W108" s="1">
        <f t="shared" si="110"/>
        <v>31.35483870967742</v>
      </c>
      <c r="X108" s="4">
        <f t="shared" si="111"/>
        <v>3.841666666666667</v>
      </c>
      <c r="Y108" s="4">
        <f t="shared" si="112"/>
        <v>88.35</v>
      </c>
      <c r="Z108" s="2">
        <f t="shared" si="113"/>
        <v>427.5</v>
      </c>
      <c r="AA108" s="6">
        <f t="shared" si="114"/>
        <v>0.004844411385506693</v>
      </c>
      <c r="AB108" s="1">
        <f t="shared" si="115"/>
        <v>10965.375</v>
      </c>
      <c r="AC108" s="4">
        <f t="shared" si="116"/>
        <v>667.1750497336342</v>
      </c>
      <c r="AD108" s="8"/>
      <c r="AE108" s="2">
        <f t="shared" si="117"/>
        <v>5889.988135752663</v>
      </c>
      <c r="AF108" s="2">
        <f t="shared" si="118"/>
        <v>8834.982203628995</v>
      </c>
      <c r="AG108" s="1">
        <f t="shared" si="119"/>
        <v>1417.7454545454543</v>
      </c>
      <c r="AH108" s="1">
        <f t="shared" si="120"/>
        <v>2126.6181818181813</v>
      </c>
      <c r="AI108" s="1">
        <f t="shared" si="121"/>
        <v>303.50346103066124</v>
      </c>
      <c r="AJ108" s="1">
        <f t="shared" si="122"/>
        <v>245.99999999999997</v>
      </c>
      <c r="AK108" s="1">
        <f t="shared" si="105"/>
        <v>455.25519154599186</v>
      </c>
      <c r="AL108" s="1">
        <f t="shared" si="106"/>
        <v>368.99999999999994</v>
      </c>
      <c r="AM108" s="1">
        <f t="shared" si="123"/>
        <v>1112.9213734451657</v>
      </c>
      <c r="AN108" s="1">
        <f t="shared" si="128"/>
        <v>1669.3820601677485</v>
      </c>
      <c r="AO108" s="1">
        <f t="shared" si="124"/>
        <v>2267.411966271985</v>
      </c>
      <c r="AP108" s="1">
        <f t="shared" si="129"/>
        <v>3401.1179494079774</v>
      </c>
      <c r="AQ108" s="1">
        <f t="shared" si="130"/>
        <v>6425.136251370891</v>
      </c>
      <c r="AR108" s="1">
        <f t="shared" si="125"/>
        <v>1391.057529723864</v>
      </c>
    </row>
    <row r="109" spans="2:44" ht="12.75" outlineLevel="1">
      <c r="B109" s="5" t="s">
        <v>98</v>
      </c>
      <c r="C109" s="3">
        <v>650</v>
      </c>
      <c r="D109" s="3">
        <v>650</v>
      </c>
      <c r="E109" s="3">
        <v>300</v>
      </c>
      <c r="F109" s="3">
        <v>16</v>
      </c>
      <c r="G109" s="3">
        <v>31</v>
      </c>
      <c r="H109" s="3">
        <v>21</v>
      </c>
      <c r="I109" s="3">
        <f t="shared" si="126"/>
        <v>546</v>
      </c>
      <c r="J109" s="3"/>
      <c r="K109" s="3">
        <f t="shared" si="32"/>
        <v>283.86557639766903</v>
      </c>
      <c r="L109" s="3">
        <v>210600</v>
      </c>
      <c r="M109" s="2">
        <f t="shared" si="131"/>
        <v>6480</v>
      </c>
      <c r="N109" s="1">
        <f t="shared" si="132"/>
        <v>27.23784965786564</v>
      </c>
      <c r="O109" s="3">
        <v>13980</v>
      </c>
      <c r="P109" s="1">
        <f t="shared" si="133"/>
        <v>932</v>
      </c>
      <c r="Q109" s="4">
        <f t="shared" si="134"/>
        <v>7.01773913842093</v>
      </c>
      <c r="R109" s="2">
        <f t="shared" si="127"/>
        <v>3624.59810963579</v>
      </c>
      <c r="S109" s="1">
        <f t="shared" si="107"/>
        <v>718.7180734114439</v>
      </c>
      <c r="T109" s="8">
        <f t="shared" si="108"/>
        <v>2.4319468914507714</v>
      </c>
      <c r="U109" s="8">
        <f t="shared" si="109"/>
        <v>2.228344774721702</v>
      </c>
      <c r="V109" s="8"/>
      <c r="W109" s="1">
        <f t="shared" si="110"/>
        <v>34.125</v>
      </c>
      <c r="X109" s="4">
        <f t="shared" si="111"/>
        <v>3.903225806451613</v>
      </c>
      <c r="Y109" s="4">
        <f t="shared" si="112"/>
        <v>99.04</v>
      </c>
      <c r="Z109" s="2">
        <f t="shared" si="113"/>
        <v>464.25</v>
      </c>
      <c r="AA109" s="6">
        <f t="shared" si="114"/>
        <v>0.004524166834373239</v>
      </c>
      <c r="AB109" s="1">
        <f t="shared" si="115"/>
        <v>13362.739875</v>
      </c>
      <c r="AC109" s="4">
        <f t="shared" si="116"/>
        <v>709.099229689736</v>
      </c>
      <c r="AD109" s="8"/>
      <c r="AE109" s="2">
        <f t="shared" si="117"/>
        <v>6193.4307577673235</v>
      </c>
      <c r="AF109" s="2">
        <f t="shared" si="118"/>
        <v>9290.146136650987</v>
      </c>
      <c r="AG109" s="1">
        <f t="shared" si="119"/>
        <v>1611.752727272727</v>
      </c>
      <c r="AH109" s="1">
        <f t="shared" si="120"/>
        <v>2417.6290909090903</v>
      </c>
      <c r="AI109" s="1">
        <f t="shared" si="121"/>
        <v>313.62243203408457</v>
      </c>
      <c r="AJ109" s="1">
        <f t="shared" si="122"/>
        <v>254.18181818181816</v>
      </c>
      <c r="AK109" s="1">
        <f t="shared" si="105"/>
        <v>470.43364805112685</v>
      </c>
      <c r="AL109" s="1">
        <f t="shared" si="106"/>
        <v>381.27272727272725</v>
      </c>
      <c r="AM109" s="1">
        <f t="shared" si="123"/>
        <v>1247.5804507754299</v>
      </c>
      <c r="AN109" s="1">
        <f t="shared" si="128"/>
        <v>1871.3706761631447</v>
      </c>
      <c r="AO109" s="1">
        <f t="shared" si="124"/>
        <v>2342.9923651477175</v>
      </c>
      <c r="AP109" s="1">
        <f t="shared" si="129"/>
        <v>3514.488547721576</v>
      </c>
      <c r="AQ109" s="1">
        <f t="shared" si="130"/>
        <v>7249.19621927158</v>
      </c>
      <c r="AR109" s="1">
        <f t="shared" si="125"/>
        <v>1437.4361468228878</v>
      </c>
    </row>
    <row r="110" spans="2:44" ht="12.75" outlineLevel="1">
      <c r="B110" s="5" t="s">
        <v>99</v>
      </c>
      <c r="C110" s="3">
        <v>700</v>
      </c>
      <c r="D110" s="3">
        <v>700</v>
      </c>
      <c r="E110" s="3">
        <v>300</v>
      </c>
      <c r="F110" s="3">
        <v>17</v>
      </c>
      <c r="G110" s="3">
        <v>32</v>
      </c>
      <c r="H110" s="3">
        <v>27</v>
      </c>
      <c r="I110" s="3">
        <f t="shared" si="126"/>
        <v>582</v>
      </c>
      <c r="J110" s="3"/>
      <c r="K110" s="3">
        <f t="shared" si="32"/>
        <v>306.3777895553304</v>
      </c>
      <c r="L110" s="3">
        <v>256900</v>
      </c>
      <c r="M110" s="2">
        <f t="shared" si="131"/>
        <v>7340</v>
      </c>
      <c r="N110" s="1">
        <f t="shared" si="132"/>
        <v>28.95698978212867</v>
      </c>
      <c r="O110" s="3">
        <v>14440</v>
      </c>
      <c r="P110" s="1">
        <f t="shared" si="133"/>
        <v>962.6666666666666</v>
      </c>
      <c r="Q110" s="4">
        <f t="shared" si="134"/>
        <v>6.865227877723698</v>
      </c>
      <c r="R110" s="2">
        <f t="shared" si="127"/>
        <v>4163.565820618238</v>
      </c>
      <c r="S110" s="1">
        <f t="shared" si="107"/>
        <v>747.522054961932</v>
      </c>
      <c r="T110" s="8">
        <f t="shared" si="108"/>
        <v>2.519646003293849</v>
      </c>
      <c r="U110" s="8">
        <f t="shared" si="109"/>
        <v>2.405065648009344</v>
      </c>
      <c r="V110" s="8"/>
      <c r="W110" s="1">
        <f t="shared" si="110"/>
        <v>34.23529411764706</v>
      </c>
      <c r="X110" s="4">
        <f t="shared" si="111"/>
        <v>3.578125</v>
      </c>
      <c r="Y110" s="4">
        <f t="shared" si="112"/>
        <v>113.56</v>
      </c>
      <c r="Z110" s="2">
        <f t="shared" si="113"/>
        <v>501</v>
      </c>
      <c r="AA110" s="6">
        <f t="shared" si="114"/>
        <v>0.004466721689975694</v>
      </c>
      <c r="AB110" s="1">
        <f t="shared" si="115"/>
        <v>16064.064</v>
      </c>
      <c r="AC110" s="4">
        <f t="shared" si="116"/>
        <v>830.9358347207652</v>
      </c>
      <c r="AD110" s="8"/>
      <c r="AE110" s="2">
        <f t="shared" si="117"/>
        <v>6684.606317570845</v>
      </c>
      <c r="AF110" s="2">
        <f t="shared" si="118"/>
        <v>10026.909476356268</v>
      </c>
      <c r="AG110" s="1">
        <f t="shared" si="119"/>
        <v>1825.6581818181817</v>
      </c>
      <c r="AH110" s="1">
        <f t="shared" si="120"/>
        <v>2738.4872727272723</v>
      </c>
      <c r="AI110" s="1">
        <f t="shared" si="121"/>
        <v>326.19144216520664</v>
      </c>
      <c r="AJ110" s="1">
        <f t="shared" si="122"/>
        <v>262.5454545454545</v>
      </c>
      <c r="AK110" s="1">
        <f t="shared" si="105"/>
        <v>489.28716324781</v>
      </c>
      <c r="AL110" s="1">
        <f t="shared" si="106"/>
        <v>393.81818181818176</v>
      </c>
      <c r="AM110" s="1">
        <f t="shared" si="123"/>
        <v>1430.4850160547032</v>
      </c>
      <c r="AN110" s="1">
        <f t="shared" si="128"/>
        <v>2145.727524082055</v>
      </c>
      <c r="AO110" s="1">
        <f t="shared" si="124"/>
        <v>2418.5727640234504</v>
      </c>
      <c r="AP110" s="1">
        <f t="shared" si="129"/>
        <v>3627.8591460351754</v>
      </c>
      <c r="AQ110" s="1">
        <f t="shared" si="130"/>
        <v>8327.131641236476</v>
      </c>
      <c r="AR110" s="1">
        <f t="shared" si="125"/>
        <v>1495.044109923864</v>
      </c>
    </row>
    <row r="111" spans="2:44" ht="12.75" outlineLevel="1">
      <c r="B111" s="5" t="s">
        <v>100</v>
      </c>
      <c r="C111" s="3">
        <v>800</v>
      </c>
      <c r="D111" s="3">
        <v>800</v>
      </c>
      <c r="E111" s="3">
        <v>300</v>
      </c>
      <c r="F111" s="3">
        <v>17.5</v>
      </c>
      <c r="G111" s="3">
        <v>33</v>
      </c>
      <c r="H111" s="3">
        <v>30</v>
      </c>
      <c r="I111" s="3">
        <f t="shared" si="126"/>
        <v>674</v>
      </c>
      <c r="J111" s="3"/>
      <c r="K111" s="3">
        <f t="shared" si="32"/>
        <v>334.1756661176919</v>
      </c>
      <c r="L111" s="3">
        <v>359100</v>
      </c>
      <c r="M111" s="2">
        <f t="shared" si="131"/>
        <v>8977.5</v>
      </c>
      <c r="N111" s="1">
        <f t="shared" si="132"/>
        <v>32.78085610033487</v>
      </c>
      <c r="O111" s="3">
        <v>14900</v>
      </c>
      <c r="P111" s="1">
        <f t="shared" si="133"/>
        <v>993.3333333333334</v>
      </c>
      <c r="Q111" s="4">
        <f t="shared" si="134"/>
        <v>6.677374326472881</v>
      </c>
      <c r="R111" s="2">
        <f t="shared" si="127"/>
        <v>5114.356200198582</v>
      </c>
      <c r="S111" s="1">
        <f t="shared" si="107"/>
        <v>776.566888408</v>
      </c>
      <c r="T111" s="8">
        <f t="shared" si="108"/>
        <v>2.7134955592153873</v>
      </c>
      <c r="U111" s="8">
        <f t="shared" si="109"/>
        <v>2.6232789790238815</v>
      </c>
      <c r="V111" s="8"/>
      <c r="W111" s="1">
        <f t="shared" si="110"/>
        <v>38.51428571428571</v>
      </c>
      <c r="X111" s="4">
        <f t="shared" si="111"/>
        <v>3.371212121212121</v>
      </c>
      <c r="Y111" s="4">
        <f t="shared" si="112"/>
        <v>134.225</v>
      </c>
      <c r="Z111" s="2">
        <f t="shared" si="113"/>
        <v>575.25</v>
      </c>
      <c r="AA111" s="6">
        <f t="shared" si="114"/>
        <v>0.0040874713880864055</v>
      </c>
      <c r="AB111" s="1">
        <f t="shared" si="115"/>
        <v>21840.229125</v>
      </c>
      <c r="AC111" s="4">
        <f t="shared" si="116"/>
        <v>946.0213056460126</v>
      </c>
      <c r="AD111" s="8"/>
      <c r="AE111" s="2">
        <f t="shared" si="117"/>
        <v>7291.105442567822</v>
      </c>
      <c r="AF111" s="2">
        <f t="shared" si="118"/>
        <v>10936.658163851735</v>
      </c>
      <c r="AG111" s="1">
        <f t="shared" si="119"/>
        <v>2232.949090909091</v>
      </c>
      <c r="AH111" s="1">
        <f t="shared" si="120"/>
        <v>3349.4236363636364</v>
      </c>
      <c r="AI111" s="1">
        <f t="shared" si="121"/>
        <v>338.86555130530905</v>
      </c>
      <c r="AJ111" s="1">
        <f t="shared" si="122"/>
        <v>270.9090909090909</v>
      </c>
      <c r="AK111" s="1">
        <f t="shared" si="105"/>
        <v>508.2983269579636</v>
      </c>
      <c r="AL111" s="1">
        <f t="shared" si="106"/>
        <v>406.3636363636363</v>
      </c>
      <c r="AM111" s="1">
        <f t="shared" si="123"/>
        <v>1690.7965065158728</v>
      </c>
      <c r="AN111" s="1">
        <f t="shared" si="128"/>
        <v>2536.194759773809</v>
      </c>
      <c r="AO111" s="1">
        <f t="shared" si="124"/>
        <v>2494.1531628991834</v>
      </c>
      <c r="AP111" s="1">
        <f t="shared" si="129"/>
        <v>3741.229744348775</v>
      </c>
      <c r="AQ111" s="1">
        <f t="shared" si="130"/>
        <v>10228.712400397164</v>
      </c>
      <c r="AR111" s="1">
        <f t="shared" si="125"/>
        <v>1553.133776816</v>
      </c>
    </row>
    <row r="112" spans="2:44" ht="12.75" outlineLevel="1">
      <c r="B112" s="5" t="s">
        <v>101</v>
      </c>
      <c r="C112" s="3">
        <v>900</v>
      </c>
      <c r="D112" s="3">
        <v>900</v>
      </c>
      <c r="E112" s="3">
        <v>300</v>
      </c>
      <c r="F112" s="3">
        <v>18.5</v>
      </c>
      <c r="G112" s="3">
        <v>35</v>
      </c>
      <c r="H112" s="3">
        <v>30</v>
      </c>
      <c r="I112" s="3">
        <f t="shared" si="126"/>
        <v>770</v>
      </c>
      <c r="J112" s="3"/>
      <c r="K112" s="3">
        <f t="shared" si="32"/>
        <v>371.27566611769186</v>
      </c>
      <c r="L112" s="3">
        <v>494100</v>
      </c>
      <c r="M112" s="2">
        <f t="shared" si="131"/>
        <v>10980</v>
      </c>
      <c r="N112" s="1">
        <f t="shared" si="132"/>
        <v>36.48036575707311</v>
      </c>
      <c r="O112" s="3">
        <v>15820</v>
      </c>
      <c r="P112" s="1">
        <f t="shared" si="133"/>
        <v>1054.6666666666667</v>
      </c>
      <c r="Q112" s="4">
        <f t="shared" si="134"/>
        <v>6.527621987348234</v>
      </c>
      <c r="R112" s="2">
        <f t="shared" si="127"/>
        <v>6292.050298881043</v>
      </c>
      <c r="S112" s="1">
        <f t="shared" si="107"/>
        <v>829.170028408</v>
      </c>
      <c r="T112" s="8">
        <f t="shared" si="108"/>
        <v>2.9114955592153873</v>
      </c>
      <c r="U112" s="8">
        <f t="shared" si="109"/>
        <v>2.914513979023881</v>
      </c>
      <c r="V112" s="8"/>
      <c r="W112" s="1">
        <f t="shared" si="110"/>
        <v>41.62162162162162</v>
      </c>
      <c r="X112" s="4">
        <f t="shared" si="111"/>
        <v>3.164285714285714</v>
      </c>
      <c r="Y112" s="4">
        <f t="shared" si="112"/>
        <v>160.025</v>
      </c>
      <c r="Z112" s="2">
        <f t="shared" si="113"/>
        <v>648.75</v>
      </c>
      <c r="AA112" s="6">
        <f t="shared" si="114"/>
        <v>0.0038590141080628295</v>
      </c>
      <c r="AB112" s="1">
        <f t="shared" si="115"/>
        <v>29461.359375</v>
      </c>
      <c r="AC112" s="4">
        <f t="shared" si="116"/>
        <v>1137.4695781219223</v>
      </c>
      <c r="AD112" s="8"/>
      <c r="AE112" s="2">
        <f t="shared" si="117"/>
        <v>8100.559988022367</v>
      </c>
      <c r="AF112" s="2">
        <f t="shared" si="118"/>
        <v>12150.83998203355</v>
      </c>
      <c r="AG112" s="1">
        <f t="shared" si="119"/>
        <v>2745.6219486026366</v>
      </c>
      <c r="AH112" s="1">
        <f t="shared" si="120"/>
        <v>4118.432922903955</v>
      </c>
      <c r="AI112" s="1">
        <f t="shared" si="121"/>
        <v>361.81964875985454</v>
      </c>
      <c r="AJ112" s="1">
        <f t="shared" si="122"/>
        <v>287.6363636363636</v>
      </c>
      <c r="AK112" s="1">
        <f t="shared" si="105"/>
        <v>542.7294731397818</v>
      </c>
      <c r="AL112" s="1">
        <f t="shared" si="106"/>
        <v>431.45454545454544</v>
      </c>
      <c r="AM112" s="1">
        <f t="shared" si="123"/>
        <v>2015.7922216815239</v>
      </c>
      <c r="AN112" s="1">
        <f t="shared" si="128"/>
        <v>3023.6883325222857</v>
      </c>
      <c r="AO112" s="1">
        <f t="shared" si="124"/>
        <v>2645.313960650649</v>
      </c>
      <c r="AP112" s="1">
        <f t="shared" si="129"/>
        <v>3967.9709409759735</v>
      </c>
      <c r="AQ112" s="1">
        <f t="shared" si="130"/>
        <v>12584.100597762086</v>
      </c>
      <c r="AR112" s="1">
        <f t="shared" si="125"/>
        <v>1658.340056816</v>
      </c>
    </row>
    <row r="113" spans="1:44" ht="12.75" outlineLevel="1">
      <c r="A113" s="18" t="s">
        <v>160</v>
      </c>
      <c r="B113" s="5" t="s">
        <v>78</v>
      </c>
      <c r="C113" s="3">
        <v>1000</v>
      </c>
      <c r="D113" s="3">
        <v>1000</v>
      </c>
      <c r="E113" s="3">
        <v>300</v>
      </c>
      <c r="F113" s="3">
        <v>19</v>
      </c>
      <c r="G113" s="3">
        <v>36</v>
      </c>
      <c r="H113" s="3">
        <v>30</v>
      </c>
      <c r="I113" s="3">
        <f aca="true" t="shared" si="135" ref="I113:I125">ROUNDDOWN(D113-2*G113-2*H113,0)</f>
        <v>868</v>
      </c>
      <c r="J113" s="3"/>
      <c r="K113" s="3">
        <f t="shared" si="32"/>
        <v>400.0456661176919</v>
      </c>
      <c r="L113" s="3">
        <v>644700</v>
      </c>
      <c r="M113" s="2">
        <f t="shared" si="131"/>
        <v>12894</v>
      </c>
      <c r="N113" s="1">
        <f t="shared" si="132"/>
        <v>40.14431485393313</v>
      </c>
      <c r="O113" s="3">
        <v>16280</v>
      </c>
      <c r="P113" s="1">
        <f t="shared" si="133"/>
        <v>1085.3333333333333</v>
      </c>
      <c r="Q113" s="4">
        <f t="shared" si="134"/>
        <v>6.379291026668753</v>
      </c>
      <c r="R113" s="2">
        <f t="shared" si="127"/>
        <v>7427.558930869388</v>
      </c>
      <c r="S113" s="1">
        <f t="shared" si="107"/>
        <v>858.134160908</v>
      </c>
      <c r="T113" s="8">
        <f t="shared" si="108"/>
        <v>3.1104955592153876</v>
      </c>
      <c r="U113" s="8">
        <f t="shared" si="109"/>
        <v>3.1403584790238814</v>
      </c>
      <c r="V113" s="8"/>
      <c r="W113" s="1">
        <f t="shared" si="110"/>
        <v>45.68421052631579</v>
      </c>
      <c r="X113" s="4">
        <f t="shared" si="111"/>
        <v>3.0694444444444446</v>
      </c>
      <c r="Y113" s="4">
        <f t="shared" si="112"/>
        <v>183.16</v>
      </c>
      <c r="Z113" s="2">
        <f t="shared" si="113"/>
        <v>723</v>
      </c>
      <c r="AA113" s="6">
        <f t="shared" si="114"/>
        <v>0.0035855014632921282</v>
      </c>
      <c r="AB113" s="1">
        <f t="shared" si="115"/>
        <v>37636.488</v>
      </c>
      <c r="AC113" s="4">
        <f t="shared" si="116"/>
        <v>1254.4205933109722</v>
      </c>
      <c r="AD113" s="8"/>
      <c r="AE113" s="2">
        <f t="shared" si="117"/>
        <v>8728.269078931458</v>
      </c>
      <c r="AF113" s="2">
        <f t="shared" si="118"/>
        <v>13092.40361839719</v>
      </c>
      <c r="AG113" s="1">
        <f t="shared" si="119"/>
        <v>3241.116624379369</v>
      </c>
      <c r="AH113" s="1">
        <f t="shared" si="120"/>
        <v>4861.674936569054</v>
      </c>
      <c r="AI113" s="1">
        <f t="shared" si="121"/>
        <v>374.4585429416727</v>
      </c>
      <c r="AJ113" s="1">
        <f t="shared" si="122"/>
        <v>295.99999999999994</v>
      </c>
      <c r="AK113" s="1">
        <f t="shared" si="105"/>
        <v>561.687814412509</v>
      </c>
      <c r="AL113" s="1">
        <f t="shared" si="106"/>
        <v>443.9999999999999</v>
      </c>
      <c r="AM113" s="1">
        <f t="shared" si="123"/>
        <v>2307.217643013204</v>
      </c>
      <c r="AN113" s="1">
        <f t="shared" si="128"/>
        <v>3460.826464519806</v>
      </c>
      <c r="AO113" s="1">
        <f t="shared" si="124"/>
        <v>2720.894359526382</v>
      </c>
      <c r="AP113" s="1">
        <f t="shared" si="129"/>
        <v>4081.3415392895727</v>
      </c>
      <c r="AQ113" s="1">
        <f t="shared" si="130"/>
        <v>14855.117861738776</v>
      </c>
      <c r="AR113" s="1">
        <f t="shared" si="125"/>
        <v>1716.268321816</v>
      </c>
    </row>
    <row r="114" spans="1:44" ht="12.75">
      <c r="A114" s="184" t="s">
        <v>254</v>
      </c>
      <c r="B114" s="185" t="s">
        <v>255</v>
      </c>
      <c r="C114" s="3">
        <v>100</v>
      </c>
      <c r="D114" s="3">
        <v>120</v>
      </c>
      <c r="E114" s="3">
        <v>106</v>
      </c>
      <c r="F114" s="3">
        <v>12</v>
      </c>
      <c r="G114" s="3">
        <v>20</v>
      </c>
      <c r="H114" s="3">
        <v>12</v>
      </c>
      <c r="I114" s="3">
        <f t="shared" si="135"/>
        <v>56</v>
      </c>
      <c r="J114" s="3"/>
      <c r="K114" s="3">
        <f aca="true" t="shared" si="136" ref="K114:K125">((D114-2*G114)*F114+2*E114*G114+((2*H114)^2-H114^2*PI()))/100</f>
        <v>53.23610657883069</v>
      </c>
      <c r="L114" s="3">
        <v>1140</v>
      </c>
      <c r="M114" s="2">
        <f>2*L114/(D114/10)</f>
        <v>190</v>
      </c>
      <c r="N114" s="1">
        <f aca="true" t="shared" si="137" ref="N114:N137">SQRT(L114/K114)</f>
        <v>4.627530424127378</v>
      </c>
      <c r="O114" s="3">
        <v>399</v>
      </c>
      <c r="P114" s="1">
        <f aca="true" t="shared" si="138" ref="P114:P137">2*O114/(E114/10)</f>
        <v>75.28301886792453</v>
      </c>
      <c r="Q114" s="4">
        <f aca="true" t="shared" si="139" ref="Q114:Q137">SQRT(O114/K114)</f>
        <v>2.7376839187858373</v>
      </c>
      <c r="R114" s="2">
        <f aca="true" t="shared" si="140" ref="R114:R125">((E114*G114*(D114-G114)/2)+((D114-2*G114)*F114/2*(D114/2-G114)/2)+((H114^2-H114^2*PI()/4)*2*(D114/2-G114-0.22337*H114)))*1/1000</f>
        <v>117.90654768175335</v>
      </c>
      <c r="S114" s="1">
        <f aca="true" t="shared" si="141" ref="S114:S125">((2*(E114/2*G114*E114/4))+(F114/2*(D114-2*G114)*F114/4)+(2*0.2146*H114^2*(F114/2+0.22337*H114)))*1/1000</f>
        <v>58.156492858111996</v>
      </c>
      <c r="T114" s="8">
        <f aca="true" t="shared" si="142" ref="T114:T137">(2*E114+4*G114+2*I114-4*H114/2+2*H114*PI()+2*(E114-F114-2*H114/2))/1000</f>
        <v>0.619398223686155</v>
      </c>
      <c r="U114" s="8">
        <f aca="true" t="shared" si="143" ref="U114:U137">$T$1*K114/10000</f>
        <v>0.4179034366438209</v>
      </c>
      <c r="V114" s="8"/>
      <c r="W114" s="1">
        <f aca="true" t="shared" si="144" ref="W114:W125">(D114-2*G114-2*H114)/F114</f>
        <v>4.666666666666667</v>
      </c>
      <c r="X114" s="4">
        <f aca="true" t="shared" si="145" ref="X114:X137">(E114/2-F114/2-H114)/G114</f>
        <v>1.75</v>
      </c>
      <c r="Y114" s="4">
        <f aca="true" t="shared" si="146" ref="Y114:Y125">(D114-G114)*F114/100</f>
        <v>12</v>
      </c>
      <c r="Z114" s="2">
        <f aca="true" t="shared" si="147" ref="Z114:Z125">0.25*(D114-G114)*E114/100</f>
        <v>26.5</v>
      </c>
      <c r="AA114" s="6">
        <f aca="true" t="shared" si="148" ref="AA114:AA137">SQRT($G$1/100*AC114/($M$1/100*AB114*10^3))</f>
        <v>0.05148724295976587</v>
      </c>
      <c r="AB114" s="1">
        <f aca="true" t="shared" si="149" ref="AB114:AB125">G114*E114^3*(D114-G114)^2/24000000000</f>
        <v>9.925133333333333</v>
      </c>
      <c r="AC114" s="4">
        <f aca="true" t="shared" si="150" ref="AC114:AC125">(2/3*G114^3*(E114-0.63*G114)+F114^3/3*(D114-2*G114)+(((H114+F114/2)^2+(H114+G114)^2-H114^2)/(2*H114+G114))^4*2*F114/G114*(0.145+0.1*H114/G114))/10000</f>
        <v>68.21343179276916</v>
      </c>
      <c r="AD114" s="8"/>
      <c r="AE114" s="2">
        <f aca="true" t="shared" si="151" ref="AE114:AE137">24/$AI$1*K114</f>
        <v>1161.515052629033</v>
      </c>
      <c r="AF114" s="2">
        <f aca="true" t="shared" si="152" ref="AF114:AF137">36/$AI$1*K114</f>
        <v>1742.27257894355</v>
      </c>
      <c r="AG114" s="1">
        <f aca="true" t="shared" si="153" ref="AG114:AG137">MAX(24/$AI$1*2*R114,1.14*24/$AI$1*M114)/100</f>
        <v>51.45012989749237</v>
      </c>
      <c r="AH114" s="1">
        <f aca="true" t="shared" si="154" ref="AH114:AH137">1.5*AG114</f>
        <v>77.17519484623855</v>
      </c>
      <c r="AI114" s="1">
        <f aca="true" t="shared" si="155" ref="AI114:AI137">24/$AI$1*2*S114/100</f>
        <v>25.377378701721597</v>
      </c>
      <c r="AJ114" s="1">
        <f aca="true" t="shared" si="156" ref="AJ114:AJ137">1.25*24/$AI$1*P114/100</f>
        <v>20.531732418524868</v>
      </c>
      <c r="AK114" s="1">
        <f aca="true" t="shared" si="157" ref="AK114:AK137">1.5*AI114</f>
        <v>38.066068052582395</v>
      </c>
      <c r="AL114" s="1">
        <f aca="true" t="shared" si="158" ref="AL114:AL137">1.5*AJ114</f>
        <v>30.797598627787302</v>
      </c>
      <c r="AM114" s="1">
        <f aca="true" t="shared" si="159" ref="AM114:AM125">24/(SQRT(3)*$AI$1)*(D114-G114)*F114/100</f>
        <v>151.16079775146565</v>
      </c>
      <c r="AN114" s="1">
        <f aca="true" t="shared" si="160" ref="AN114:AN137">1.5*AM114</f>
        <v>226.74119662719846</v>
      </c>
      <c r="AO114" s="1">
        <f aca="true" t="shared" si="161" ref="AO114:AO137">24/(SQRT(3)*$AI$1)*2*E114*G114/100</f>
        <v>534.101485388512</v>
      </c>
      <c r="AP114" s="1">
        <f aca="true" t="shared" si="162" ref="AP114:AP137">1.5*AO114</f>
        <v>801.1522280827679</v>
      </c>
      <c r="AQ114" s="1">
        <f aca="true" t="shared" si="163" ref="AQ114:AQ137">2*R114</f>
        <v>235.8130953635067</v>
      </c>
      <c r="AR114" s="1">
        <f aca="true" t="shared" si="164" ref="AR114:AR137">2*S114</f>
        <v>116.31298571622399</v>
      </c>
    </row>
    <row r="115" spans="2:44" ht="12.75" outlineLevel="1">
      <c r="B115" s="185" t="s">
        <v>256</v>
      </c>
      <c r="C115" s="3">
        <v>120</v>
      </c>
      <c r="D115" s="3">
        <v>140</v>
      </c>
      <c r="E115" s="3">
        <v>126</v>
      </c>
      <c r="F115" s="3">
        <v>12.5</v>
      </c>
      <c r="G115" s="3">
        <v>21</v>
      </c>
      <c r="H115" s="3">
        <v>12</v>
      </c>
      <c r="I115" s="3">
        <f t="shared" si="135"/>
        <v>74</v>
      </c>
      <c r="J115" s="3"/>
      <c r="K115" s="3">
        <f t="shared" si="136"/>
        <v>66.4061065788307</v>
      </c>
      <c r="L115" s="3">
        <v>2020</v>
      </c>
      <c r="M115" s="2">
        <f aca="true" t="shared" si="165" ref="M115:M125">2*L115/(D115/10)</f>
        <v>288.57142857142856</v>
      </c>
      <c r="N115" s="1">
        <f t="shared" si="137"/>
        <v>5.515332195501178</v>
      </c>
      <c r="O115" s="3">
        <v>703</v>
      </c>
      <c r="P115" s="1">
        <f t="shared" si="138"/>
        <v>111.5873015873016</v>
      </c>
      <c r="Q115" s="4">
        <f t="shared" si="139"/>
        <v>3.253671127379778</v>
      </c>
      <c r="R115" s="2">
        <f t="shared" si="140"/>
        <v>175.30604564222716</v>
      </c>
      <c r="S115" s="1">
        <f t="shared" si="141"/>
        <v>85.815006558112</v>
      </c>
      <c r="T115" s="8">
        <f t="shared" si="142"/>
        <v>0.738398223686155</v>
      </c>
      <c r="U115" s="8">
        <f t="shared" si="143"/>
        <v>0.521287936643821</v>
      </c>
      <c r="V115" s="8"/>
      <c r="W115" s="1">
        <f t="shared" si="144"/>
        <v>5.92</v>
      </c>
      <c r="X115" s="4">
        <f t="shared" si="145"/>
        <v>2.130952380952381</v>
      </c>
      <c r="Y115" s="4">
        <f t="shared" si="146"/>
        <v>14.875</v>
      </c>
      <c r="Z115" s="2">
        <f t="shared" si="147"/>
        <v>37.485</v>
      </c>
      <c r="AA115" s="6">
        <f t="shared" si="148"/>
        <v>0.03776780811118385</v>
      </c>
      <c r="AB115" s="1">
        <f t="shared" si="149"/>
        <v>24.786408969</v>
      </c>
      <c r="AC115" s="4">
        <f t="shared" si="150"/>
        <v>91.66244740058855</v>
      </c>
      <c r="AD115" s="8"/>
      <c r="AE115" s="2">
        <f t="shared" si="151"/>
        <v>1448.860507174488</v>
      </c>
      <c r="AF115" s="2">
        <f t="shared" si="152"/>
        <v>2173.290760761732</v>
      </c>
      <c r="AG115" s="1">
        <f t="shared" si="153"/>
        <v>76.49718355297185</v>
      </c>
      <c r="AH115" s="1">
        <f t="shared" si="154"/>
        <v>114.74577532945777</v>
      </c>
      <c r="AI115" s="1">
        <f t="shared" si="155"/>
        <v>37.446548316267055</v>
      </c>
      <c r="AJ115" s="1">
        <f t="shared" si="156"/>
        <v>30.432900432900432</v>
      </c>
      <c r="AK115" s="1">
        <f t="shared" si="157"/>
        <v>56.16982247440058</v>
      </c>
      <c r="AL115" s="1">
        <f t="shared" si="158"/>
        <v>45.64935064935065</v>
      </c>
      <c r="AM115" s="1">
        <f t="shared" si="159"/>
        <v>187.37640554608762</v>
      </c>
      <c r="AN115" s="1">
        <f t="shared" si="160"/>
        <v>281.0646083191314</v>
      </c>
      <c r="AO115" s="1">
        <f t="shared" si="161"/>
        <v>666.6191180839636</v>
      </c>
      <c r="AP115" s="1">
        <f t="shared" si="162"/>
        <v>999.9286771259453</v>
      </c>
      <c r="AQ115" s="1">
        <f t="shared" si="163"/>
        <v>350.6120912844543</v>
      </c>
      <c r="AR115" s="1">
        <f t="shared" si="164"/>
        <v>171.630013116224</v>
      </c>
    </row>
    <row r="116" spans="2:44" ht="12.75" outlineLevel="1">
      <c r="B116" s="185" t="s">
        <v>257</v>
      </c>
      <c r="C116" s="3">
        <v>140</v>
      </c>
      <c r="D116" s="3">
        <v>160</v>
      </c>
      <c r="E116" s="3">
        <v>146</v>
      </c>
      <c r="F116" s="3">
        <v>13</v>
      </c>
      <c r="G116" s="3">
        <v>22</v>
      </c>
      <c r="H116" s="3">
        <v>12</v>
      </c>
      <c r="I116" s="3">
        <f t="shared" si="135"/>
        <v>92</v>
      </c>
      <c r="J116" s="3"/>
      <c r="K116" s="3">
        <f t="shared" si="136"/>
        <v>80.5561065788307</v>
      </c>
      <c r="L116" s="3">
        <v>3290</v>
      </c>
      <c r="M116" s="2">
        <f t="shared" si="165"/>
        <v>411.25</v>
      </c>
      <c r="N116" s="1">
        <f t="shared" si="137"/>
        <v>6.390704182280766</v>
      </c>
      <c r="O116" s="3">
        <v>1140</v>
      </c>
      <c r="P116" s="1">
        <f t="shared" si="138"/>
        <v>156.16438356164383</v>
      </c>
      <c r="Q116" s="4">
        <f t="shared" si="139"/>
        <v>3.761864874860763</v>
      </c>
      <c r="R116" s="2">
        <f t="shared" si="140"/>
        <v>246.91304360270098</v>
      </c>
      <c r="S116" s="1">
        <f t="shared" si="141"/>
        <v>120.25589525811199</v>
      </c>
      <c r="T116" s="8">
        <f t="shared" si="142"/>
        <v>0.857398223686155</v>
      </c>
      <c r="U116" s="8">
        <f t="shared" si="143"/>
        <v>0.6323654366438209</v>
      </c>
      <c r="V116" s="8"/>
      <c r="W116" s="1">
        <f t="shared" si="144"/>
        <v>7.076923076923077</v>
      </c>
      <c r="X116" s="4">
        <f t="shared" si="145"/>
        <v>2.477272727272727</v>
      </c>
      <c r="Y116" s="4">
        <f t="shared" si="146"/>
        <v>17.94</v>
      </c>
      <c r="Z116" s="2">
        <f t="shared" si="147"/>
        <v>50.37</v>
      </c>
      <c r="AA116" s="6">
        <f t="shared" si="148"/>
        <v>0.029189857222301694</v>
      </c>
      <c r="AB116" s="1">
        <f t="shared" si="149"/>
        <v>54.328558152</v>
      </c>
      <c r="AC116" s="4">
        <f t="shared" si="150"/>
        <v>120.01247619024541</v>
      </c>
      <c r="AD116" s="8"/>
      <c r="AE116" s="2">
        <f t="shared" si="151"/>
        <v>1757.5877799017605</v>
      </c>
      <c r="AF116" s="2">
        <f t="shared" si="152"/>
        <v>2636.3816698526407</v>
      </c>
      <c r="AG116" s="1">
        <f t="shared" si="153"/>
        <v>107.7438735720877</v>
      </c>
      <c r="AH116" s="1">
        <f t="shared" si="154"/>
        <v>161.61581035813154</v>
      </c>
      <c r="AI116" s="1">
        <f t="shared" si="155"/>
        <v>52.475299748994324</v>
      </c>
      <c r="AJ116" s="1">
        <f t="shared" si="156"/>
        <v>42.59028642590286</v>
      </c>
      <c r="AK116" s="1">
        <f t="shared" si="157"/>
        <v>78.71294962349148</v>
      </c>
      <c r="AL116" s="1">
        <f t="shared" si="158"/>
        <v>63.88542963885429</v>
      </c>
      <c r="AM116" s="1">
        <f t="shared" si="159"/>
        <v>225.98539263844114</v>
      </c>
      <c r="AN116" s="1">
        <f t="shared" si="160"/>
        <v>338.9780889576617</v>
      </c>
      <c r="AO116" s="1">
        <f t="shared" si="161"/>
        <v>809.2141372961794</v>
      </c>
      <c r="AP116" s="1">
        <f t="shared" si="162"/>
        <v>1213.821205944269</v>
      </c>
      <c r="AQ116" s="1">
        <f t="shared" si="163"/>
        <v>493.82608720540196</v>
      </c>
      <c r="AR116" s="1">
        <f t="shared" si="164"/>
        <v>240.51179051622398</v>
      </c>
    </row>
    <row r="117" spans="2:44" ht="12.75" outlineLevel="1">
      <c r="B117" s="185" t="s">
        <v>258</v>
      </c>
      <c r="C117" s="3">
        <v>160</v>
      </c>
      <c r="D117" s="3">
        <v>180</v>
      </c>
      <c r="E117" s="3">
        <v>166</v>
      </c>
      <c r="F117" s="3">
        <v>14</v>
      </c>
      <c r="G117" s="3">
        <v>23</v>
      </c>
      <c r="H117" s="3">
        <v>15</v>
      </c>
      <c r="I117" s="3">
        <f t="shared" si="135"/>
        <v>104</v>
      </c>
      <c r="J117" s="3"/>
      <c r="K117" s="3">
        <f t="shared" si="136"/>
        <v>97.05141652942297</v>
      </c>
      <c r="L117" s="3">
        <v>5100</v>
      </c>
      <c r="M117" s="2">
        <f t="shared" si="165"/>
        <v>566.6666666666666</v>
      </c>
      <c r="N117" s="1">
        <f t="shared" si="137"/>
        <v>7.249100967290438</v>
      </c>
      <c r="O117" s="3">
        <v>1760</v>
      </c>
      <c r="P117" s="1">
        <f t="shared" si="138"/>
        <v>212.04819277108433</v>
      </c>
      <c r="Q117" s="4">
        <f t="shared" si="139"/>
        <v>4.258487674754631</v>
      </c>
      <c r="R117" s="2">
        <f t="shared" si="140"/>
        <v>337.282679990934</v>
      </c>
      <c r="S117" s="1">
        <f t="shared" si="141"/>
        <v>162.7295526135</v>
      </c>
      <c r="T117" s="8">
        <f t="shared" si="142"/>
        <v>0.9702477796076938</v>
      </c>
      <c r="U117" s="8">
        <f t="shared" si="143"/>
        <v>0.7618536197559702</v>
      </c>
      <c r="V117" s="8"/>
      <c r="W117" s="1">
        <f t="shared" si="144"/>
        <v>7.428571428571429</v>
      </c>
      <c r="X117" s="4">
        <f t="shared" si="145"/>
        <v>2.652173913043478</v>
      </c>
      <c r="Y117" s="4">
        <f t="shared" si="146"/>
        <v>21.98</v>
      </c>
      <c r="Z117" s="2">
        <f t="shared" si="147"/>
        <v>65.155</v>
      </c>
      <c r="AA117" s="6">
        <f t="shared" si="148"/>
        <v>0.024079557685203527</v>
      </c>
      <c r="AB117" s="1">
        <f t="shared" si="149"/>
        <v>108.05382951633334</v>
      </c>
      <c r="AC117" s="4">
        <f t="shared" si="150"/>
        <v>162.43194676236118</v>
      </c>
      <c r="AD117" s="8"/>
      <c r="AE117" s="2">
        <f t="shared" si="151"/>
        <v>2117.4854515510465</v>
      </c>
      <c r="AF117" s="2">
        <f t="shared" si="152"/>
        <v>3176.2281773265695</v>
      </c>
      <c r="AG117" s="1">
        <f t="shared" si="153"/>
        <v>147.17789672331665</v>
      </c>
      <c r="AH117" s="1">
        <f t="shared" si="154"/>
        <v>220.766845084975</v>
      </c>
      <c r="AI117" s="1">
        <f t="shared" si="155"/>
        <v>71.00925932225454</v>
      </c>
      <c r="AJ117" s="1">
        <f t="shared" si="156"/>
        <v>57.831325301204814</v>
      </c>
      <c r="AK117" s="1">
        <f t="shared" si="157"/>
        <v>106.5138889833818</v>
      </c>
      <c r="AL117" s="1">
        <f t="shared" si="158"/>
        <v>86.74698795180723</v>
      </c>
      <c r="AM117" s="1">
        <f t="shared" si="159"/>
        <v>276.87619454810124</v>
      </c>
      <c r="AN117" s="1">
        <f t="shared" si="160"/>
        <v>415.31429182215186</v>
      </c>
      <c r="AO117" s="1">
        <f t="shared" si="161"/>
        <v>961.8865430251597</v>
      </c>
      <c r="AP117" s="1">
        <f t="shared" si="162"/>
        <v>1442.8298145377394</v>
      </c>
      <c r="AQ117" s="1">
        <f t="shared" si="163"/>
        <v>674.565359981868</v>
      </c>
      <c r="AR117" s="1">
        <f t="shared" si="164"/>
        <v>325.459105227</v>
      </c>
    </row>
    <row r="118" spans="2:44" ht="12.75" outlineLevel="1">
      <c r="B118" s="185" t="s">
        <v>259</v>
      </c>
      <c r="C118" s="3">
        <v>180</v>
      </c>
      <c r="D118" s="3">
        <v>200</v>
      </c>
      <c r="E118" s="3">
        <v>186</v>
      </c>
      <c r="F118" s="3">
        <v>14.5</v>
      </c>
      <c r="G118" s="3">
        <v>24</v>
      </c>
      <c r="H118" s="3">
        <v>15</v>
      </c>
      <c r="I118" s="3">
        <f t="shared" si="135"/>
        <v>122</v>
      </c>
      <c r="J118" s="3"/>
      <c r="K118" s="3">
        <f t="shared" si="136"/>
        <v>113.25141652942297</v>
      </c>
      <c r="L118" s="3">
        <v>7480</v>
      </c>
      <c r="M118" s="2">
        <f t="shared" si="165"/>
        <v>748</v>
      </c>
      <c r="N118" s="1">
        <f t="shared" si="137"/>
        <v>8.126976005699362</v>
      </c>
      <c r="O118" s="3">
        <v>2580</v>
      </c>
      <c r="P118" s="1">
        <f t="shared" si="138"/>
        <v>277.41935483870964</v>
      </c>
      <c r="Q118" s="4">
        <f t="shared" si="139"/>
        <v>4.772962602730106</v>
      </c>
      <c r="R118" s="2">
        <f t="shared" si="140"/>
        <v>441.7238174291744</v>
      </c>
      <c r="S118" s="1">
        <f t="shared" si="141"/>
        <v>212.5944451135</v>
      </c>
      <c r="T118" s="8">
        <f t="shared" si="142"/>
        <v>1.0892477796076938</v>
      </c>
      <c r="U118" s="8">
        <f t="shared" si="143"/>
        <v>0.8890236197559703</v>
      </c>
      <c r="V118" s="8"/>
      <c r="W118" s="1">
        <f t="shared" si="144"/>
        <v>8.413793103448276</v>
      </c>
      <c r="X118" s="4">
        <f t="shared" si="145"/>
        <v>2.9479166666666665</v>
      </c>
      <c r="Y118" s="4">
        <f t="shared" si="146"/>
        <v>25.52</v>
      </c>
      <c r="Z118" s="2">
        <f t="shared" si="147"/>
        <v>81.84</v>
      </c>
      <c r="AA118" s="6">
        <f t="shared" si="148"/>
        <v>0.01983311924214483</v>
      </c>
      <c r="AB118" s="1">
        <f t="shared" si="149"/>
        <v>199.326099456</v>
      </c>
      <c r="AC118" s="4">
        <f t="shared" si="150"/>
        <v>203.27337133907142</v>
      </c>
      <c r="AD118" s="8"/>
      <c r="AE118" s="2">
        <f t="shared" si="151"/>
        <v>2470.939997005592</v>
      </c>
      <c r="AF118" s="2">
        <f t="shared" si="152"/>
        <v>3706.409995508388</v>
      </c>
      <c r="AG118" s="1">
        <f t="shared" si="153"/>
        <v>192.75221124182153</v>
      </c>
      <c r="AH118" s="1">
        <f t="shared" si="154"/>
        <v>289.1283168627323</v>
      </c>
      <c r="AI118" s="1">
        <f t="shared" si="155"/>
        <v>92.76848514043635</v>
      </c>
      <c r="AJ118" s="1">
        <f t="shared" si="156"/>
        <v>75.6598240469208</v>
      </c>
      <c r="AK118" s="1">
        <f t="shared" si="157"/>
        <v>139.15272771065452</v>
      </c>
      <c r="AL118" s="1">
        <f t="shared" si="158"/>
        <v>113.48973607038121</v>
      </c>
      <c r="AM118" s="1">
        <f t="shared" si="159"/>
        <v>321.4686298847836</v>
      </c>
      <c r="AN118" s="1">
        <f t="shared" si="160"/>
        <v>482.2029448271754</v>
      </c>
      <c r="AO118" s="1">
        <f t="shared" si="161"/>
        <v>1124.6363352709043</v>
      </c>
      <c r="AP118" s="1">
        <f t="shared" si="162"/>
        <v>1686.9545029063565</v>
      </c>
      <c r="AQ118" s="1">
        <f t="shared" si="163"/>
        <v>883.4476348583488</v>
      </c>
      <c r="AR118" s="1">
        <f t="shared" si="164"/>
        <v>425.188890227</v>
      </c>
    </row>
    <row r="119" spans="2:44" ht="12.75" outlineLevel="1">
      <c r="B119" s="185" t="s">
        <v>260</v>
      </c>
      <c r="C119" s="3">
        <v>200</v>
      </c>
      <c r="D119" s="3">
        <v>220</v>
      </c>
      <c r="E119" s="3">
        <v>206</v>
      </c>
      <c r="F119" s="3">
        <v>15</v>
      </c>
      <c r="G119" s="3">
        <v>25</v>
      </c>
      <c r="H119" s="3">
        <v>18</v>
      </c>
      <c r="I119" s="3">
        <f t="shared" si="135"/>
        <v>134</v>
      </c>
      <c r="J119" s="3"/>
      <c r="K119" s="3">
        <f t="shared" si="136"/>
        <v>131.28123980236907</v>
      </c>
      <c r="L119" s="3">
        <v>10640</v>
      </c>
      <c r="M119" s="2">
        <f t="shared" si="165"/>
        <v>967.2727272727273</v>
      </c>
      <c r="N119" s="1">
        <f t="shared" si="137"/>
        <v>9.002631613559684</v>
      </c>
      <c r="O119" s="3">
        <v>3650</v>
      </c>
      <c r="P119" s="1">
        <f t="shared" si="138"/>
        <v>354.36893203883494</v>
      </c>
      <c r="Q119" s="4">
        <f t="shared" si="139"/>
        <v>5.272846122363743</v>
      </c>
      <c r="R119" s="2">
        <f t="shared" si="140"/>
        <v>567.5736481788789</v>
      </c>
      <c r="S119" s="1">
        <f t="shared" si="141"/>
        <v>271.60832219612803</v>
      </c>
      <c r="T119" s="8">
        <f t="shared" si="142"/>
        <v>1.2030973355292327</v>
      </c>
      <c r="U119" s="8">
        <f t="shared" si="143"/>
        <v>1.0305577324485973</v>
      </c>
      <c r="V119" s="8"/>
      <c r="W119" s="1">
        <f t="shared" si="144"/>
        <v>8.933333333333334</v>
      </c>
      <c r="X119" s="4">
        <f t="shared" si="145"/>
        <v>3.1</v>
      </c>
      <c r="Y119" s="4">
        <f t="shared" si="146"/>
        <v>29.25</v>
      </c>
      <c r="Z119" s="2">
        <f t="shared" si="147"/>
        <v>100.425</v>
      </c>
      <c r="AA119" s="6">
        <f t="shared" si="148"/>
        <v>0.016999101021308097</v>
      </c>
      <c r="AB119" s="1">
        <f t="shared" si="149"/>
        <v>346.257868125</v>
      </c>
      <c r="AC119" s="4">
        <f t="shared" si="150"/>
        <v>259.4094758910041</v>
      </c>
      <c r="AD119" s="8"/>
      <c r="AE119" s="2">
        <f t="shared" si="151"/>
        <v>2864.317959324416</v>
      </c>
      <c r="AF119" s="2">
        <f t="shared" si="152"/>
        <v>4296.476938986624</v>
      </c>
      <c r="AG119" s="1">
        <f t="shared" si="153"/>
        <v>247.66850102351077</v>
      </c>
      <c r="AH119" s="1">
        <f t="shared" si="154"/>
        <v>371.50275153526616</v>
      </c>
      <c r="AI119" s="1">
        <f t="shared" si="155"/>
        <v>118.5199951401286</v>
      </c>
      <c r="AJ119" s="1">
        <f t="shared" si="156"/>
        <v>96.6460723742277</v>
      </c>
      <c r="AK119" s="1">
        <f t="shared" si="157"/>
        <v>177.77999271019291</v>
      </c>
      <c r="AL119" s="1">
        <f t="shared" si="158"/>
        <v>144.96910856134156</v>
      </c>
      <c r="AM119" s="1">
        <f t="shared" si="159"/>
        <v>368.4544445191975</v>
      </c>
      <c r="AN119" s="1">
        <f t="shared" si="160"/>
        <v>552.6816667787963</v>
      </c>
      <c r="AO119" s="1">
        <f t="shared" si="161"/>
        <v>1297.4635140334135</v>
      </c>
      <c r="AP119" s="1">
        <f t="shared" si="162"/>
        <v>1946.1952710501203</v>
      </c>
      <c r="AQ119" s="1">
        <f t="shared" si="163"/>
        <v>1135.1472963577578</v>
      </c>
      <c r="AR119" s="1">
        <f t="shared" si="164"/>
        <v>543.2166443922561</v>
      </c>
    </row>
    <row r="120" spans="2:44" ht="12.75" outlineLevel="1">
      <c r="B120" s="185" t="s">
        <v>261</v>
      </c>
      <c r="C120" s="3">
        <v>220</v>
      </c>
      <c r="D120" s="3">
        <v>240</v>
      </c>
      <c r="E120" s="3">
        <v>226</v>
      </c>
      <c r="F120" s="3">
        <v>15.5</v>
      </c>
      <c r="G120" s="3">
        <v>26</v>
      </c>
      <c r="H120" s="3">
        <v>18</v>
      </c>
      <c r="I120" s="3">
        <f t="shared" si="135"/>
        <v>152</v>
      </c>
      <c r="J120" s="3"/>
      <c r="K120" s="3">
        <f t="shared" si="136"/>
        <v>149.44123980236907</v>
      </c>
      <c r="L120" s="3">
        <v>14600</v>
      </c>
      <c r="M120" s="2">
        <f t="shared" si="165"/>
        <v>1216.6666666666667</v>
      </c>
      <c r="N120" s="1">
        <f t="shared" si="137"/>
        <v>9.884192545533837</v>
      </c>
      <c r="O120" s="3">
        <v>5010</v>
      </c>
      <c r="P120" s="1">
        <f t="shared" si="138"/>
        <v>443.36283185840705</v>
      </c>
      <c r="Q120" s="4">
        <f t="shared" si="139"/>
        <v>5.7900675701022415</v>
      </c>
      <c r="R120" s="2">
        <f t="shared" si="140"/>
        <v>709.7237060899449</v>
      </c>
      <c r="S120" s="1">
        <f t="shared" si="141"/>
        <v>339.276712396128</v>
      </c>
      <c r="T120" s="8">
        <f t="shared" si="142"/>
        <v>1.3220973355292327</v>
      </c>
      <c r="U120" s="8">
        <f t="shared" si="143"/>
        <v>1.1731137324485972</v>
      </c>
      <c r="V120" s="8"/>
      <c r="W120" s="1">
        <f t="shared" si="144"/>
        <v>9.806451612903226</v>
      </c>
      <c r="X120" s="4">
        <f t="shared" si="145"/>
        <v>3.355769230769231</v>
      </c>
      <c r="Y120" s="4">
        <f t="shared" si="146"/>
        <v>33.17</v>
      </c>
      <c r="Z120" s="2">
        <f t="shared" si="147"/>
        <v>120.91</v>
      </c>
      <c r="AA120" s="6">
        <f t="shared" si="148"/>
        <v>0.014571807284349368</v>
      </c>
      <c r="AB120" s="1">
        <f t="shared" si="149"/>
        <v>572.6838954373334</v>
      </c>
      <c r="AC120" s="4">
        <f t="shared" si="150"/>
        <v>315.26523602009865</v>
      </c>
      <c r="AD120" s="8"/>
      <c r="AE120" s="2">
        <f t="shared" si="151"/>
        <v>3260.5361411425974</v>
      </c>
      <c r="AF120" s="2">
        <f t="shared" si="152"/>
        <v>4890.804211713897</v>
      </c>
      <c r="AG120" s="1">
        <f t="shared" si="153"/>
        <v>309.69761720288506</v>
      </c>
      <c r="AH120" s="1">
        <f t="shared" si="154"/>
        <v>464.54642580432755</v>
      </c>
      <c r="AI120" s="1">
        <f t="shared" si="155"/>
        <v>148.04801995467403</v>
      </c>
      <c r="AJ120" s="1">
        <f t="shared" si="156"/>
        <v>120.91713596138372</v>
      </c>
      <c r="AK120" s="1">
        <f t="shared" si="157"/>
        <v>222.07202993201105</v>
      </c>
      <c r="AL120" s="1">
        <f t="shared" si="158"/>
        <v>181.37570394207557</v>
      </c>
      <c r="AM120" s="1">
        <f t="shared" si="159"/>
        <v>417.83363845134295</v>
      </c>
      <c r="AN120" s="1">
        <f t="shared" si="160"/>
        <v>626.7504576770144</v>
      </c>
      <c r="AO120" s="1">
        <f t="shared" si="161"/>
        <v>1480.3680793126869</v>
      </c>
      <c r="AP120" s="1">
        <f t="shared" si="162"/>
        <v>2220.5521189690303</v>
      </c>
      <c r="AQ120" s="1">
        <f t="shared" si="163"/>
        <v>1419.4474121798899</v>
      </c>
      <c r="AR120" s="1">
        <f t="shared" si="164"/>
        <v>678.553424792256</v>
      </c>
    </row>
    <row r="121" spans="2:44" ht="12.75" outlineLevel="1">
      <c r="B121" s="185" t="s">
        <v>262</v>
      </c>
      <c r="C121" s="3">
        <v>240</v>
      </c>
      <c r="D121" s="3">
        <v>270</v>
      </c>
      <c r="E121" s="3">
        <v>248</v>
      </c>
      <c r="F121" s="3">
        <v>18</v>
      </c>
      <c r="G121" s="3">
        <v>32</v>
      </c>
      <c r="H121" s="3">
        <v>21</v>
      </c>
      <c r="I121" s="3">
        <f t="shared" si="135"/>
        <v>164</v>
      </c>
      <c r="J121" s="3"/>
      <c r="K121" s="3">
        <f t="shared" si="136"/>
        <v>199.58557639766903</v>
      </c>
      <c r="L121" s="3">
        <v>24290</v>
      </c>
      <c r="M121" s="2">
        <f t="shared" si="165"/>
        <v>1799.2592592592594</v>
      </c>
      <c r="N121" s="1">
        <f t="shared" si="137"/>
        <v>11.031871159594454</v>
      </c>
      <c r="O121" s="3">
        <v>8150</v>
      </c>
      <c r="P121" s="1">
        <f t="shared" si="138"/>
        <v>657.258064516129</v>
      </c>
      <c r="Q121" s="4">
        <f t="shared" si="139"/>
        <v>6.390196721499061</v>
      </c>
      <c r="R121" s="2">
        <f t="shared" si="140"/>
        <v>1058.4728550380507</v>
      </c>
      <c r="S121" s="1">
        <f t="shared" si="141"/>
        <v>502.966350611444</v>
      </c>
      <c r="T121" s="8">
        <f t="shared" si="142"/>
        <v>1.4599468914507714</v>
      </c>
      <c r="U121" s="8">
        <f t="shared" si="143"/>
        <v>1.5667467747217019</v>
      </c>
      <c r="V121" s="8"/>
      <c r="W121" s="1">
        <f t="shared" si="144"/>
        <v>9.11111111111111</v>
      </c>
      <c r="X121" s="4">
        <f t="shared" si="145"/>
        <v>2.9375</v>
      </c>
      <c r="Y121" s="4">
        <f t="shared" si="146"/>
        <v>42.84</v>
      </c>
      <c r="Z121" s="2">
        <f t="shared" si="147"/>
        <v>147.56</v>
      </c>
      <c r="AA121" s="6">
        <f t="shared" si="148"/>
        <v>0.014499533107670009</v>
      </c>
      <c r="AB121" s="1">
        <f t="shared" si="149"/>
        <v>1151.9873051306668</v>
      </c>
      <c r="AC121" s="4">
        <f t="shared" si="150"/>
        <v>627.8993087831054</v>
      </c>
      <c r="AD121" s="8"/>
      <c r="AE121" s="2">
        <f t="shared" si="151"/>
        <v>4354.594394130961</v>
      </c>
      <c r="AF121" s="2">
        <f t="shared" si="152"/>
        <v>6531.8915911964405</v>
      </c>
      <c r="AG121" s="1">
        <f t="shared" si="153"/>
        <v>461.87906401660393</v>
      </c>
      <c r="AH121" s="1">
        <f t="shared" si="154"/>
        <v>692.8185960249059</v>
      </c>
      <c r="AI121" s="1">
        <f t="shared" si="155"/>
        <v>219.47622572135737</v>
      </c>
      <c r="AJ121" s="1">
        <f t="shared" si="156"/>
        <v>179.25219941348973</v>
      </c>
      <c r="AK121" s="1">
        <f t="shared" si="157"/>
        <v>329.214338582036</v>
      </c>
      <c r="AL121" s="1">
        <f t="shared" si="158"/>
        <v>268.8782991202346</v>
      </c>
      <c r="AM121" s="1">
        <f t="shared" si="159"/>
        <v>539.6440479727323</v>
      </c>
      <c r="AN121" s="1">
        <f t="shared" si="160"/>
        <v>809.4660719590985</v>
      </c>
      <c r="AO121" s="1">
        <f t="shared" si="161"/>
        <v>1999.3534849260523</v>
      </c>
      <c r="AP121" s="1">
        <f t="shared" si="162"/>
        <v>2999.0302273890784</v>
      </c>
      <c r="AQ121" s="1">
        <f t="shared" si="163"/>
        <v>2116.9457100761015</v>
      </c>
      <c r="AR121" s="1">
        <f t="shared" si="164"/>
        <v>1005.932701222888</v>
      </c>
    </row>
    <row r="122" spans="2:44" ht="12.75" outlineLevel="1">
      <c r="B122" s="185" t="s">
        <v>263</v>
      </c>
      <c r="C122" s="3">
        <v>260</v>
      </c>
      <c r="D122" s="3">
        <v>290</v>
      </c>
      <c r="E122" s="3">
        <v>268</v>
      </c>
      <c r="F122" s="3">
        <v>18</v>
      </c>
      <c r="G122" s="3">
        <v>32.35</v>
      </c>
      <c r="H122" s="3">
        <v>24</v>
      </c>
      <c r="I122" s="3">
        <f t="shared" si="135"/>
        <v>177</v>
      </c>
      <c r="J122" s="3"/>
      <c r="K122" s="3">
        <f t="shared" si="136"/>
        <v>218.89442631532282</v>
      </c>
      <c r="L122" s="3">
        <v>31310</v>
      </c>
      <c r="M122" s="2">
        <f t="shared" si="165"/>
        <v>2159.310344827586</v>
      </c>
      <c r="N122" s="1">
        <f t="shared" si="137"/>
        <v>11.959807297920536</v>
      </c>
      <c r="O122" s="3">
        <v>10450</v>
      </c>
      <c r="P122" s="1">
        <f t="shared" si="138"/>
        <v>779.8507462686567</v>
      </c>
      <c r="Q122" s="4">
        <f t="shared" si="139"/>
        <v>6.909407285175224</v>
      </c>
      <c r="R122" s="2">
        <f t="shared" si="140"/>
        <v>1257.621344913791</v>
      </c>
      <c r="S122" s="1">
        <f t="shared" si="141"/>
        <v>593.5515352648961</v>
      </c>
      <c r="T122" s="8">
        <f t="shared" si="142"/>
        <v>1.57419644737231</v>
      </c>
      <c r="U122" s="8">
        <f t="shared" si="143"/>
        <v>1.718321246575284</v>
      </c>
      <c r="V122" s="8"/>
      <c r="W122" s="1">
        <f t="shared" si="144"/>
        <v>9.850000000000001</v>
      </c>
      <c r="X122" s="4">
        <f t="shared" si="145"/>
        <v>3.1221020092735703</v>
      </c>
      <c r="Y122" s="4">
        <f t="shared" si="146"/>
        <v>46.376999999999995</v>
      </c>
      <c r="Z122" s="2">
        <f t="shared" si="147"/>
        <v>172.6255</v>
      </c>
      <c r="AA122" s="6">
        <f t="shared" si="148"/>
        <v>0.012618146285855539</v>
      </c>
      <c r="AB122" s="1">
        <f t="shared" si="149"/>
        <v>1722.3750231134495</v>
      </c>
      <c r="AC122" s="4">
        <f t="shared" si="150"/>
        <v>710.9730042755535</v>
      </c>
      <c r="AD122" s="8"/>
      <c r="AE122" s="2">
        <f t="shared" si="151"/>
        <v>4775.878392334315</v>
      </c>
      <c r="AF122" s="2">
        <f t="shared" si="152"/>
        <v>7163.817588501474</v>
      </c>
      <c r="AG122" s="1">
        <f t="shared" si="153"/>
        <v>548.7802232351088</v>
      </c>
      <c r="AH122" s="1">
        <f t="shared" si="154"/>
        <v>823.1703348526632</v>
      </c>
      <c r="AI122" s="1">
        <f t="shared" si="155"/>
        <v>259.0043062974092</v>
      </c>
      <c r="AJ122" s="1">
        <f t="shared" si="156"/>
        <v>212.6865671641791</v>
      </c>
      <c r="AK122" s="1">
        <f t="shared" si="157"/>
        <v>388.5064594461138</v>
      </c>
      <c r="AL122" s="1">
        <f t="shared" si="158"/>
        <v>319.02985074626866</v>
      </c>
      <c r="AM122" s="1">
        <f t="shared" si="159"/>
        <v>584.1986931099767</v>
      </c>
      <c r="AN122" s="1">
        <f t="shared" si="160"/>
        <v>876.298039664965</v>
      </c>
      <c r="AO122" s="1">
        <f t="shared" si="161"/>
        <v>2184.223140576095</v>
      </c>
      <c r="AP122" s="1">
        <f t="shared" si="162"/>
        <v>3276.3347108641424</v>
      </c>
      <c r="AQ122" s="1">
        <f t="shared" si="163"/>
        <v>2515.242689827582</v>
      </c>
      <c r="AR122" s="1">
        <f t="shared" si="164"/>
        <v>1187.1030705297921</v>
      </c>
    </row>
    <row r="123" spans="2:44" ht="12.75" outlineLevel="1">
      <c r="B123" s="185" t="s">
        <v>264</v>
      </c>
      <c r="C123" s="3">
        <v>280</v>
      </c>
      <c r="D123" s="3">
        <v>310</v>
      </c>
      <c r="E123" s="3">
        <v>288</v>
      </c>
      <c r="F123" s="3">
        <v>18.5</v>
      </c>
      <c r="G123" s="3">
        <v>33</v>
      </c>
      <c r="H123" s="3">
        <v>24</v>
      </c>
      <c r="I123" s="3">
        <f t="shared" si="135"/>
        <v>196</v>
      </c>
      <c r="J123" s="3"/>
      <c r="K123" s="3">
        <f t="shared" si="136"/>
        <v>240.16442631532277</v>
      </c>
      <c r="L123" s="3">
        <v>39550</v>
      </c>
      <c r="M123" s="2">
        <f t="shared" si="165"/>
        <v>2551.6129032258063</v>
      </c>
      <c r="N123" s="1">
        <f t="shared" si="137"/>
        <v>12.832725493917051</v>
      </c>
      <c r="O123" s="3">
        <v>13160</v>
      </c>
      <c r="P123" s="1">
        <f t="shared" si="138"/>
        <v>913.8888888888889</v>
      </c>
      <c r="Q123" s="4">
        <f t="shared" si="139"/>
        <v>7.4024179973483815</v>
      </c>
      <c r="R123" s="2">
        <f t="shared" si="140"/>
        <v>1482.8166767162047</v>
      </c>
      <c r="S123" s="1">
        <f t="shared" si="141"/>
        <v>698.3387150648961</v>
      </c>
      <c r="T123" s="8">
        <f t="shared" si="142"/>
        <v>1.69379644737231</v>
      </c>
      <c r="U123" s="8">
        <f t="shared" si="143"/>
        <v>1.8852907465752837</v>
      </c>
      <c r="V123" s="8"/>
      <c r="W123" s="1">
        <f t="shared" si="144"/>
        <v>10.594594594594595</v>
      </c>
      <c r="X123" s="4">
        <f t="shared" si="145"/>
        <v>3.356060606060606</v>
      </c>
      <c r="Y123" s="4">
        <f t="shared" si="146"/>
        <v>51.245</v>
      </c>
      <c r="Z123" s="2">
        <f t="shared" si="147"/>
        <v>199.44</v>
      </c>
      <c r="AA123" s="6">
        <f t="shared" si="148"/>
        <v>0.011115409761475896</v>
      </c>
      <c r="AB123" s="1">
        <f t="shared" si="149"/>
        <v>2520.227229696</v>
      </c>
      <c r="AC123" s="4">
        <f t="shared" si="150"/>
        <v>807.2813696277734</v>
      </c>
      <c r="AD123" s="8"/>
      <c r="AE123" s="2">
        <f t="shared" si="151"/>
        <v>5239.951119607042</v>
      </c>
      <c r="AF123" s="2">
        <f t="shared" si="152"/>
        <v>7859.926679410563</v>
      </c>
      <c r="AG123" s="1">
        <f t="shared" si="153"/>
        <v>647.0472771125256</v>
      </c>
      <c r="AH123" s="1">
        <f t="shared" si="154"/>
        <v>970.5709156687885</v>
      </c>
      <c r="AI123" s="1">
        <f t="shared" si="155"/>
        <v>304.7296211192273</v>
      </c>
      <c r="AJ123" s="1">
        <f t="shared" si="156"/>
        <v>249.24242424242425</v>
      </c>
      <c r="AK123" s="1">
        <f t="shared" si="157"/>
        <v>457.094431678841</v>
      </c>
      <c r="AL123" s="1">
        <f t="shared" si="158"/>
        <v>373.8636363636364</v>
      </c>
      <c r="AM123" s="1">
        <f t="shared" si="159"/>
        <v>645.519590064488</v>
      </c>
      <c r="AN123" s="1">
        <f t="shared" si="160"/>
        <v>968.2793850967321</v>
      </c>
      <c r="AO123" s="1">
        <f t="shared" si="161"/>
        <v>2394.3870363832157</v>
      </c>
      <c r="AP123" s="1">
        <f t="shared" si="162"/>
        <v>3591.5805545748235</v>
      </c>
      <c r="AQ123" s="1">
        <f t="shared" si="163"/>
        <v>2965.6333534324094</v>
      </c>
      <c r="AR123" s="1">
        <f t="shared" si="164"/>
        <v>1396.6774301297921</v>
      </c>
    </row>
    <row r="124" spans="2:44" ht="12.75" outlineLevel="1">
      <c r="B124" s="185" t="s">
        <v>265</v>
      </c>
      <c r="C124" s="3">
        <v>300</v>
      </c>
      <c r="D124" s="3">
        <v>340</v>
      </c>
      <c r="E124" s="3">
        <v>310</v>
      </c>
      <c r="F124" s="3">
        <v>21</v>
      </c>
      <c r="G124" s="3">
        <v>39</v>
      </c>
      <c r="H124" s="3">
        <v>27</v>
      </c>
      <c r="I124" s="3">
        <f t="shared" si="135"/>
        <v>208</v>
      </c>
      <c r="J124" s="3"/>
      <c r="K124" s="3">
        <f t="shared" si="136"/>
        <v>303.0777895553304</v>
      </c>
      <c r="L124" s="3">
        <v>59200</v>
      </c>
      <c r="M124" s="2">
        <f t="shared" si="165"/>
        <v>3482.3529411764707</v>
      </c>
      <c r="N124" s="1">
        <f t="shared" si="137"/>
        <v>13.97602915007634</v>
      </c>
      <c r="O124" s="3">
        <v>19400</v>
      </c>
      <c r="P124" s="1">
        <f t="shared" si="138"/>
        <v>1251.6129032258063</v>
      </c>
      <c r="Q124" s="4">
        <f t="shared" si="139"/>
        <v>8.000623055967099</v>
      </c>
      <c r="R124" s="2">
        <f t="shared" si="140"/>
        <v>2038.836988275899</v>
      </c>
      <c r="S124" s="1">
        <f t="shared" si="141"/>
        <v>956.5900785619319</v>
      </c>
      <c r="T124" s="8">
        <f t="shared" si="142"/>
        <v>1.8316460032938489</v>
      </c>
      <c r="U124" s="8">
        <f t="shared" si="143"/>
        <v>2.3791606480093437</v>
      </c>
      <c r="V124" s="8"/>
      <c r="W124" s="1">
        <f t="shared" si="144"/>
        <v>9.904761904761905</v>
      </c>
      <c r="X124" s="4">
        <f t="shared" si="145"/>
        <v>3.0128205128205128</v>
      </c>
      <c r="Y124" s="4">
        <f t="shared" si="146"/>
        <v>63.21</v>
      </c>
      <c r="Z124" s="2">
        <f t="shared" si="147"/>
        <v>233.275</v>
      </c>
      <c r="AA124" s="6">
        <f t="shared" si="148"/>
        <v>0.011125857245690658</v>
      </c>
      <c r="AB124" s="1">
        <f t="shared" si="149"/>
        <v>4386.028385375</v>
      </c>
      <c r="AC124" s="4">
        <f t="shared" si="150"/>
        <v>1407.578680846428</v>
      </c>
      <c r="AD124" s="8"/>
      <c r="AE124" s="2">
        <f t="shared" si="151"/>
        <v>6612.606317570845</v>
      </c>
      <c r="AF124" s="2">
        <f t="shared" si="152"/>
        <v>9918.909476356268</v>
      </c>
      <c r="AG124" s="1">
        <f t="shared" si="153"/>
        <v>889.6743221567559</v>
      </c>
      <c r="AH124" s="1">
        <f t="shared" si="154"/>
        <v>1334.511483235134</v>
      </c>
      <c r="AI124" s="1">
        <f t="shared" si="155"/>
        <v>417.4211251906612</v>
      </c>
      <c r="AJ124" s="1">
        <f t="shared" si="156"/>
        <v>341.34897360703803</v>
      </c>
      <c r="AK124" s="1">
        <f t="shared" si="157"/>
        <v>626.1316877859917</v>
      </c>
      <c r="AL124" s="1">
        <f t="shared" si="158"/>
        <v>512.023460410557</v>
      </c>
      <c r="AM124" s="1">
        <f t="shared" si="159"/>
        <v>796.2395021558452</v>
      </c>
      <c r="AN124" s="1">
        <f t="shared" si="160"/>
        <v>1194.359253233768</v>
      </c>
      <c r="AO124" s="1">
        <f t="shared" si="161"/>
        <v>3045.8900746920326</v>
      </c>
      <c r="AP124" s="1">
        <f t="shared" si="162"/>
        <v>4568.8351120380485</v>
      </c>
      <c r="AQ124" s="1">
        <f t="shared" si="163"/>
        <v>4077.673976551798</v>
      </c>
      <c r="AR124" s="1">
        <f t="shared" si="164"/>
        <v>1913.1801571238639</v>
      </c>
    </row>
    <row r="125" spans="2:44" ht="12.75" outlineLevel="1">
      <c r="B125" s="185" t="s">
        <v>266</v>
      </c>
      <c r="C125" s="3">
        <v>320</v>
      </c>
      <c r="D125" s="3">
        <v>359</v>
      </c>
      <c r="E125" s="3">
        <v>309</v>
      </c>
      <c r="F125" s="3">
        <v>21</v>
      </c>
      <c r="G125" s="3">
        <v>40</v>
      </c>
      <c r="H125" s="3">
        <v>27</v>
      </c>
      <c r="I125" s="3">
        <f t="shared" si="135"/>
        <v>225</v>
      </c>
      <c r="J125" s="3"/>
      <c r="K125" s="3">
        <f t="shared" si="136"/>
        <v>312.04778955533044</v>
      </c>
      <c r="L125" s="3">
        <v>68130</v>
      </c>
      <c r="M125" s="2">
        <f t="shared" si="165"/>
        <v>3795.5431754874653</v>
      </c>
      <c r="N125" s="1">
        <f t="shared" si="137"/>
        <v>14.77605977083051</v>
      </c>
      <c r="O125" s="3">
        <v>19710</v>
      </c>
      <c r="P125" s="1">
        <f t="shared" si="138"/>
        <v>1275.7281553398059</v>
      </c>
      <c r="Q125" s="4">
        <f t="shared" si="139"/>
        <v>7.947540630940697</v>
      </c>
      <c r="R125" s="2">
        <f t="shared" si="140"/>
        <v>2217.513673836914</v>
      </c>
      <c r="S125" s="1">
        <f t="shared" si="141"/>
        <v>975.362203561932</v>
      </c>
      <c r="T125" s="8">
        <f t="shared" si="142"/>
        <v>1.8656460032938489</v>
      </c>
      <c r="U125" s="8">
        <f t="shared" si="143"/>
        <v>2.449575148009344</v>
      </c>
      <c r="V125" s="8"/>
      <c r="W125" s="1">
        <f t="shared" si="144"/>
        <v>10.714285714285714</v>
      </c>
      <c r="X125" s="4">
        <f t="shared" si="145"/>
        <v>2.925</v>
      </c>
      <c r="Y125" s="4">
        <f t="shared" si="146"/>
        <v>66.99</v>
      </c>
      <c r="Z125" s="2">
        <f t="shared" si="147"/>
        <v>246.4275</v>
      </c>
      <c r="AA125" s="6">
        <f t="shared" si="148"/>
        <v>0.010755013200460654</v>
      </c>
      <c r="AB125" s="1">
        <f t="shared" si="149"/>
        <v>5003.864651115</v>
      </c>
      <c r="AC125" s="4">
        <f t="shared" si="150"/>
        <v>1500.588885441437</v>
      </c>
      <c r="AD125" s="8"/>
      <c r="AE125" s="2">
        <f t="shared" si="151"/>
        <v>6808.315408479936</v>
      </c>
      <c r="AF125" s="2">
        <f t="shared" si="152"/>
        <v>10212.473112719905</v>
      </c>
      <c r="AG125" s="1">
        <f t="shared" si="153"/>
        <v>967.6423304015625</v>
      </c>
      <c r="AH125" s="1">
        <f t="shared" si="154"/>
        <v>1451.4634956023438</v>
      </c>
      <c r="AI125" s="1">
        <f t="shared" si="155"/>
        <v>425.61259791793395</v>
      </c>
      <c r="AJ125" s="1">
        <f t="shared" si="156"/>
        <v>347.92586054721977</v>
      </c>
      <c r="AK125" s="1">
        <f t="shared" si="157"/>
        <v>638.4188968769009</v>
      </c>
      <c r="AL125" s="1">
        <f t="shared" si="158"/>
        <v>521.8887908208296</v>
      </c>
      <c r="AM125" s="1">
        <f t="shared" si="159"/>
        <v>843.855153447557</v>
      </c>
      <c r="AN125" s="1">
        <f t="shared" si="160"/>
        <v>1265.7827301713355</v>
      </c>
      <c r="AO125" s="1">
        <f t="shared" si="161"/>
        <v>3113.9124336801924</v>
      </c>
      <c r="AP125" s="1">
        <f t="shared" si="162"/>
        <v>4670.868650520289</v>
      </c>
      <c r="AQ125" s="1">
        <f t="shared" si="163"/>
        <v>4435.027347673828</v>
      </c>
      <c r="AR125" s="1">
        <f t="shared" si="164"/>
        <v>1950.724407123864</v>
      </c>
    </row>
    <row r="126" spans="2:44" ht="12.75" outlineLevel="1">
      <c r="B126" s="185" t="s">
        <v>267</v>
      </c>
      <c r="C126" s="3">
        <v>340</v>
      </c>
      <c r="D126" s="3">
        <v>377</v>
      </c>
      <c r="E126" s="3">
        <v>309</v>
      </c>
      <c r="F126" s="3">
        <v>21</v>
      </c>
      <c r="G126" s="3">
        <v>40</v>
      </c>
      <c r="H126" s="3">
        <v>27</v>
      </c>
      <c r="I126" s="3">
        <f aca="true" t="shared" si="166" ref="I126:I137">ROUNDDOWN(D126-2*G126-2*H126,0)</f>
        <v>243</v>
      </c>
      <c r="J126" s="3"/>
      <c r="K126" s="3">
        <f aca="true" t="shared" si="167" ref="K126:K137">((D126-2*G126)*F126+2*E126*G126+((2*H126)^2-H126^2*PI()))/100</f>
        <v>315.8277895553304</v>
      </c>
      <c r="L126" s="3">
        <v>76370</v>
      </c>
      <c r="M126" s="2">
        <f aca="true" t="shared" si="168" ref="M126:M137">2*L126/(D126/10)</f>
        <v>4051.4588859416444</v>
      </c>
      <c r="N126" s="1">
        <f t="shared" si="137"/>
        <v>15.550208801799712</v>
      </c>
      <c r="O126" s="3">
        <v>19710</v>
      </c>
      <c r="P126" s="1">
        <f t="shared" si="138"/>
        <v>1275.7281553398059</v>
      </c>
      <c r="Q126" s="4">
        <f t="shared" si="139"/>
        <v>7.899837206083112</v>
      </c>
      <c r="R126" s="2">
        <f aca="true" t="shared" si="169" ref="R126:R137">((E126*G126*(D126-G126)/2)+((D126-2*G126)*F126/2*(D126/2-G126)/2)+((H126^2-H126^2*PI()/4)*2*(D126/2-G126-0.22337*H126)))*1/1000</f>
        <v>2358.785679136813</v>
      </c>
      <c r="S126" s="1">
        <f aca="true" t="shared" si="170" ref="S126:S137">((2*(E126/2*G126*E126/4))+(F126/2*(D126-2*G126)*F126/4)+(2*0.2146*H126^2*(F126/2+0.22337*H126)))*1/1000</f>
        <v>976.354453561932</v>
      </c>
      <c r="T126" s="8">
        <f t="shared" si="142"/>
        <v>1.901646003293849</v>
      </c>
      <c r="U126" s="8">
        <f t="shared" si="143"/>
        <v>2.4792481480093436</v>
      </c>
      <c r="V126" s="8"/>
      <c r="W126" s="1">
        <f aca="true" t="shared" si="171" ref="W126:W137">(D126-2*G126-2*H126)/F126</f>
        <v>11.571428571428571</v>
      </c>
      <c r="X126" s="4">
        <f t="shared" si="145"/>
        <v>2.925</v>
      </c>
      <c r="Y126" s="4">
        <f aca="true" t="shared" si="172" ref="Y126:Y137">(D126-G126)*F126/100</f>
        <v>70.77</v>
      </c>
      <c r="Z126" s="2">
        <f aca="true" t="shared" si="173" ref="Z126:Z137">0.25*(D126-G126)*E126/100</f>
        <v>260.3325</v>
      </c>
      <c r="AA126" s="6">
        <f t="shared" si="148"/>
        <v>0.010199393075788009</v>
      </c>
      <c r="AB126" s="1">
        <f aca="true" t="shared" si="174" ref="AB126:AB137">G126*E126^3*(D126-G126)^2/24000000000</f>
        <v>5584.496069835</v>
      </c>
      <c r="AC126" s="4">
        <f aca="true" t="shared" si="175" ref="AC126:AC137">(2/3*G126^3*(E126-0.63*G126)+F126^3/3*(D126-2*G126)+(((H126+F126/2)^2+(H126+G126)^2-H126^2)/(2*H126+G126))^4*2*F126/G126*(0.145+0.1*H126/G126))/10000</f>
        <v>1506.145485441437</v>
      </c>
      <c r="AD126" s="8"/>
      <c r="AE126" s="2">
        <f t="shared" si="151"/>
        <v>6890.788135752663</v>
      </c>
      <c r="AF126" s="2">
        <f t="shared" si="152"/>
        <v>10336.182203628996</v>
      </c>
      <c r="AG126" s="1">
        <f t="shared" si="153"/>
        <v>1029.2882963506092</v>
      </c>
      <c r="AH126" s="1">
        <f t="shared" si="154"/>
        <v>1543.932444525914</v>
      </c>
      <c r="AI126" s="1">
        <f t="shared" si="155"/>
        <v>426.04557973611577</v>
      </c>
      <c r="AJ126" s="1">
        <f t="shared" si="156"/>
        <v>347.92586054721977</v>
      </c>
      <c r="AK126" s="1">
        <f t="shared" si="157"/>
        <v>639.0683696041737</v>
      </c>
      <c r="AL126" s="1">
        <f t="shared" si="158"/>
        <v>521.8887908208296</v>
      </c>
      <c r="AM126" s="1">
        <f aca="true" t="shared" si="176" ref="AM126:AM137">24/(SQRT(3)*$AI$1)*(D126-G126)*F126/100</f>
        <v>891.4708047392686</v>
      </c>
      <c r="AN126" s="1">
        <f t="shared" si="160"/>
        <v>1337.2062071089028</v>
      </c>
      <c r="AO126" s="1">
        <f t="shared" si="161"/>
        <v>3113.9124336801924</v>
      </c>
      <c r="AP126" s="1">
        <f t="shared" si="162"/>
        <v>4670.868650520289</v>
      </c>
      <c r="AQ126" s="1">
        <f t="shared" si="163"/>
        <v>4717.571358273626</v>
      </c>
      <c r="AR126" s="1">
        <f t="shared" si="164"/>
        <v>1952.708907123864</v>
      </c>
    </row>
    <row r="127" spans="2:44" ht="12.75" outlineLevel="1">
      <c r="B127" s="185" t="s">
        <v>268</v>
      </c>
      <c r="C127" s="3">
        <v>360</v>
      </c>
      <c r="D127" s="3">
        <v>395</v>
      </c>
      <c r="E127" s="3">
        <v>308</v>
      </c>
      <c r="F127" s="3">
        <v>21</v>
      </c>
      <c r="G127" s="3">
        <v>40</v>
      </c>
      <c r="H127" s="3">
        <v>27</v>
      </c>
      <c r="I127" s="3">
        <f t="shared" si="166"/>
        <v>261</v>
      </c>
      <c r="J127" s="3"/>
      <c r="K127" s="3">
        <f t="shared" si="167"/>
        <v>318.80778955533043</v>
      </c>
      <c r="L127" s="3">
        <v>84870</v>
      </c>
      <c r="M127" s="2">
        <f t="shared" si="168"/>
        <v>4297.215189873417</v>
      </c>
      <c r="N127" s="1">
        <f t="shared" si="137"/>
        <v>16.315960266082566</v>
      </c>
      <c r="O127" s="3">
        <v>19520</v>
      </c>
      <c r="P127" s="1">
        <f t="shared" si="138"/>
        <v>1267.5324675324675</v>
      </c>
      <c r="Q127" s="4">
        <f t="shared" si="139"/>
        <v>7.824839614611068</v>
      </c>
      <c r="R127" s="2">
        <f t="shared" si="169"/>
        <v>2494.658684436712</v>
      </c>
      <c r="S127" s="1">
        <f t="shared" si="170"/>
        <v>971.176703561932</v>
      </c>
      <c r="T127" s="8">
        <f t="shared" si="142"/>
        <v>1.933646003293849</v>
      </c>
      <c r="U127" s="8">
        <f t="shared" si="143"/>
        <v>2.502641148009344</v>
      </c>
      <c r="V127" s="8"/>
      <c r="W127" s="1">
        <f t="shared" si="171"/>
        <v>12.428571428571429</v>
      </c>
      <c r="X127" s="4">
        <f t="shared" si="145"/>
        <v>2.9125</v>
      </c>
      <c r="Y127" s="4">
        <f t="shared" si="172"/>
        <v>74.55</v>
      </c>
      <c r="Z127" s="2">
        <f t="shared" si="173"/>
        <v>273.35</v>
      </c>
      <c r="AA127" s="6">
        <f t="shared" si="148"/>
        <v>0.009733598252804603</v>
      </c>
      <c r="AB127" s="1">
        <f t="shared" si="174"/>
        <v>6137.020941333333</v>
      </c>
      <c r="AC127" s="4">
        <f t="shared" si="175"/>
        <v>1507.4354187747704</v>
      </c>
      <c r="AD127" s="8"/>
      <c r="AE127" s="2">
        <f t="shared" si="151"/>
        <v>6955.806317570845</v>
      </c>
      <c r="AF127" s="2">
        <f t="shared" si="152"/>
        <v>10433.709476356269</v>
      </c>
      <c r="AG127" s="1">
        <f t="shared" si="153"/>
        <v>1088.578335026929</v>
      </c>
      <c r="AH127" s="1">
        <f t="shared" si="154"/>
        <v>1632.8675025403934</v>
      </c>
      <c r="AI127" s="1">
        <f t="shared" si="155"/>
        <v>423.7861979179339</v>
      </c>
      <c r="AJ127" s="1">
        <f t="shared" si="156"/>
        <v>345.69067296340023</v>
      </c>
      <c r="AK127" s="1">
        <f t="shared" si="157"/>
        <v>635.6792968769009</v>
      </c>
      <c r="AL127" s="1">
        <f t="shared" si="158"/>
        <v>518.5360094451004</v>
      </c>
      <c r="AM127" s="1">
        <f t="shared" si="176"/>
        <v>939.0864560309802</v>
      </c>
      <c r="AN127" s="1">
        <f t="shared" si="160"/>
        <v>1408.6296840464704</v>
      </c>
      <c r="AO127" s="1">
        <f t="shared" si="161"/>
        <v>3103.8350471634276</v>
      </c>
      <c r="AP127" s="1">
        <f t="shared" si="162"/>
        <v>4655.752570745141</v>
      </c>
      <c r="AQ127" s="1">
        <f t="shared" si="163"/>
        <v>4989.317368873424</v>
      </c>
      <c r="AR127" s="1">
        <f t="shared" si="164"/>
        <v>1942.353407123864</v>
      </c>
    </row>
    <row r="128" spans="2:44" ht="12.75" outlineLevel="1">
      <c r="B128" s="184" t="s">
        <v>269</v>
      </c>
      <c r="C128" s="3">
        <v>400</v>
      </c>
      <c r="D128" s="3">
        <v>432</v>
      </c>
      <c r="E128" s="3">
        <v>307</v>
      </c>
      <c r="F128" s="3">
        <v>21</v>
      </c>
      <c r="G128" s="3">
        <v>40</v>
      </c>
      <c r="H128" s="3">
        <v>27</v>
      </c>
      <c r="I128" s="3">
        <f t="shared" si="166"/>
        <v>298</v>
      </c>
      <c r="J128" s="3"/>
      <c r="K128" s="3">
        <f t="shared" si="167"/>
        <v>325.7777895553304</v>
      </c>
      <c r="L128" s="3">
        <v>104100</v>
      </c>
      <c r="M128" s="2">
        <f t="shared" si="168"/>
        <v>4819.444444444444</v>
      </c>
      <c r="N128" s="1">
        <f t="shared" si="137"/>
        <v>17.87576466971346</v>
      </c>
      <c r="O128" s="3">
        <v>19340</v>
      </c>
      <c r="P128" s="1">
        <f t="shared" si="138"/>
        <v>1259.9348534201954</v>
      </c>
      <c r="Q128" s="4">
        <f t="shared" si="139"/>
        <v>7.70490873343133</v>
      </c>
      <c r="R128" s="2">
        <f t="shared" si="169"/>
        <v>2785.3095147753925</v>
      </c>
      <c r="S128" s="1">
        <f t="shared" si="170"/>
        <v>967.066328561932</v>
      </c>
      <c r="T128" s="8">
        <f t="shared" si="142"/>
        <v>2.003646003293849</v>
      </c>
      <c r="U128" s="8">
        <f t="shared" si="143"/>
        <v>2.557355648009344</v>
      </c>
      <c r="V128" s="8"/>
      <c r="W128" s="1">
        <f t="shared" si="171"/>
        <v>14.19047619047619</v>
      </c>
      <c r="X128" s="4">
        <f t="shared" si="145"/>
        <v>2.9</v>
      </c>
      <c r="Y128" s="4">
        <f t="shared" si="172"/>
        <v>82.32</v>
      </c>
      <c r="Z128" s="2">
        <f t="shared" si="173"/>
        <v>300.86</v>
      </c>
      <c r="AA128" s="6">
        <f t="shared" si="148"/>
        <v>0.008878968046667905</v>
      </c>
      <c r="AB128" s="1">
        <f t="shared" si="174"/>
        <v>7410.303748586667</v>
      </c>
      <c r="AC128" s="4">
        <f t="shared" si="175"/>
        <v>1514.5906521081035</v>
      </c>
      <c r="AD128" s="8"/>
      <c r="AE128" s="2">
        <f t="shared" si="151"/>
        <v>7107.879044843572</v>
      </c>
      <c r="AF128" s="2">
        <f t="shared" si="152"/>
        <v>10661.818567265358</v>
      </c>
      <c r="AG128" s="1">
        <f t="shared" si="153"/>
        <v>1215.4077882656256</v>
      </c>
      <c r="AH128" s="1">
        <f t="shared" si="154"/>
        <v>1823.1116823984385</v>
      </c>
      <c r="AI128" s="1">
        <f t="shared" si="155"/>
        <v>421.9925797361157</v>
      </c>
      <c r="AJ128" s="1">
        <f t="shared" si="156"/>
        <v>343.61859638732597</v>
      </c>
      <c r="AK128" s="1">
        <f t="shared" si="157"/>
        <v>632.9888696041736</v>
      </c>
      <c r="AL128" s="1">
        <f t="shared" si="158"/>
        <v>515.427894580989</v>
      </c>
      <c r="AM128" s="1">
        <f t="shared" si="176"/>
        <v>1036.9630725750544</v>
      </c>
      <c r="AN128" s="1">
        <f t="shared" si="160"/>
        <v>1555.4446088625816</v>
      </c>
      <c r="AO128" s="1">
        <f t="shared" si="161"/>
        <v>3093.757660646663</v>
      </c>
      <c r="AP128" s="1">
        <f t="shared" si="162"/>
        <v>4640.636490969995</v>
      </c>
      <c r="AQ128" s="1">
        <f t="shared" si="163"/>
        <v>5570.619029550785</v>
      </c>
      <c r="AR128" s="1">
        <f t="shared" si="164"/>
        <v>1934.132657123864</v>
      </c>
    </row>
    <row r="129" spans="2:44" ht="12.75" outlineLevel="1">
      <c r="B129" s="184" t="s">
        <v>270</v>
      </c>
      <c r="C129" s="3">
        <v>450</v>
      </c>
      <c r="D129" s="3">
        <v>478</v>
      </c>
      <c r="E129" s="3">
        <v>307</v>
      </c>
      <c r="F129" s="3">
        <v>21</v>
      </c>
      <c r="G129" s="3">
        <v>40</v>
      </c>
      <c r="H129" s="3">
        <v>27</v>
      </c>
      <c r="I129" s="3">
        <f t="shared" si="166"/>
        <v>344</v>
      </c>
      <c r="J129" s="3"/>
      <c r="K129" s="3">
        <f t="shared" si="167"/>
        <v>335.43778955533037</v>
      </c>
      <c r="L129" s="3">
        <v>131500</v>
      </c>
      <c r="M129" s="2">
        <f t="shared" si="168"/>
        <v>5502.092050209205</v>
      </c>
      <c r="N129" s="1">
        <f t="shared" si="137"/>
        <v>19.799621249871706</v>
      </c>
      <c r="O129" s="3">
        <v>19340</v>
      </c>
      <c r="P129" s="1">
        <f t="shared" si="138"/>
        <v>1259.9348534201954</v>
      </c>
      <c r="Q129" s="4">
        <f t="shared" si="139"/>
        <v>7.59315457755718</v>
      </c>
      <c r="R129" s="2">
        <f t="shared" si="169"/>
        <v>3165.508472764023</v>
      </c>
      <c r="S129" s="1">
        <f t="shared" si="170"/>
        <v>969.602078561932</v>
      </c>
      <c r="T129" s="8">
        <f t="shared" si="142"/>
        <v>2.095646003293849</v>
      </c>
      <c r="U129" s="8">
        <f t="shared" si="143"/>
        <v>2.6331866480093433</v>
      </c>
      <c r="V129" s="8"/>
      <c r="W129" s="1">
        <f t="shared" si="171"/>
        <v>16.38095238095238</v>
      </c>
      <c r="X129" s="4">
        <f t="shared" si="145"/>
        <v>2.9</v>
      </c>
      <c r="Y129" s="4">
        <f t="shared" si="172"/>
        <v>91.98</v>
      </c>
      <c r="Z129" s="2">
        <f t="shared" si="173"/>
        <v>336.165</v>
      </c>
      <c r="AA129" s="6">
        <f t="shared" si="148"/>
        <v>0.007983638268266324</v>
      </c>
      <c r="AB129" s="1">
        <f t="shared" si="174"/>
        <v>9251.49880482</v>
      </c>
      <c r="AC129" s="4">
        <f t="shared" si="175"/>
        <v>1528.7908521081035</v>
      </c>
      <c r="AD129" s="8"/>
      <c r="AE129" s="2">
        <f t="shared" si="151"/>
        <v>7318.642681207208</v>
      </c>
      <c r="AF129" s="2">
        <f t="shared" si="152"/>
        <v>10977.964021810812</v>
      </c>
      <c r="AG129" s="1">
        <f t="shared" si="153"/>
        <v>1381.3127881152097</v>
      </c>
      <c r="AH129" s="1">
        <f t="shared" si="154"/>
        <v>2071.9691821728147</v>
      </c>
      <c r="AI129" s="1">
        <f t="shared" si="155"/>
        <v>423.09908882702484</v>
      </c>
      <c r="AJ129" s="1">
        <f t="shared" si="156"/>
        <v>343.61859638732597</v>
      </c>
      <c r="AK129" s="1">
        <f t="shared" si="157"/>
        <v>634.6486332405373</v>
      </c>
      <c r="AL129" s="1">
        <f t="shared" si="158"/>
        <v>515.427894580989</v>
      </c>
      <c r="AM129" s="1">
        <f t="shared" si="176"/>
        <v>1158.6475147649842</v>
      </c>
      <c r="AN129" s="1">
        <f t="shared" si="160"/>
        <v>1737.9712721474762</v>
      </c>
      <c r="AO129" s="1">
        <f t="shared" si="161"/>
        <v>3093.757660646663</v>
      </c>
      <c r="AP129" s="1">
        <f t="shared" si="162"/>
        <v>4640.636490969995</v>
      </c>
      <c r="AQ129" s="1">
        <f t="shared" si="163"/>
        <v>6331.016945528046</v>
      </c>
      <c r="AR129" s="1">
        <f t="shared" si="164"/>
        <v>1939.204157123864</v>
      </c>
    </row>
    <row r="130" spans="2:44" ht="12.75" outlineLevel="1">
      <c r="B130" s="184" t="s">
        <v>271</v>
      </c>
      <c r="C130" s="3">
        <v>500</v>
      </c>
      <c r="D130" s="3">
        <v>527</v>
      </c>
      <c r="E130" s="3">
        <v>306</v>
      </c>
      <c r="F130" s="3">
        <v>21</v>
      </c>
      <c r="G130" s="3">
        <v>40</v>
      </c>
      <c r="H130" s="3">
        <v>27</v>
      </c>
      <c r="I130" s="3">
        <f t="shared" si="166"/>
        <v>393</v>
      </c>
      <c r="J130" s="3"/>
      <c r="K130" s="3">
        <f t="shared" si="167"/>
        <v>344.9277895553304</v>
      </c>
      <c r="L130" s="3">
        <v>161900</v>
      </c>
      <c r="M130" s="2">
        <f t="shared" si="168"/>
        <v>6144.212523719165</v>
      </c>
      <c r="N130" s="1">
        <f t="shared" si="137"/>
        <v>21.665031845350864</v>
      </c>
      <c r="O130" s="3">
        <v>19150</v>
      </c>
      <c r="P130" s="1">
        <f t="shared" si="138"/>
        <v>1251.6339869281046</v>
      </c>
      <c r="Q130" s="4">
        <f t="shared" si="139"/>
        <v>7.451098361219971</v>
      </c>
      <c r="R130" s="2">
        <f t="shared" si="169"/>
        <v>3572.9823899693024</v>
      </c>
      <c r="S130" s="1">
        <f t="shared" si="170"/>
        <v>966.1732035619319</v>
      </c>
      <c r="T130" s="8">
        <f t="shared" si="142"/>
        <v>2.189646003293849</v>
      </c>
      <c r="U130" s="8">
        <f t="shared" si="143"/>
        <v>2.7076831480093433</v>
      </c>
      <c r="V130" s="8"/>
      <c r="W130" s="1">
        <f t="shared" si="171"/>
        <v>18.714285714285715</v>
      </c>
      <c r="X130" s="4">
        <f t="shared" si="145"/>
        <v>2.8875</v>
      </c>
      <c r="Y130" s="4">
        <f t="shared" si="172"/>
        <v>102.27</v>
      </c>
      <c r="Z130" s="2">
        <f t="shared" si="173"/>
        <v>372.555</v>
      </c>
      <c r="AA130" s="6">
        <f t="shared" si="148"/>
        <v>0.00724116523942429</v>
      </c>
      <c r="AB130" s="1">
        <f t="shared" si="174"/>
        <v>11325.85380684</v>
      </c>
      <c r="AC130" s="4">
        <f t="shared" si="175"/>
        <v>1539.650485441437</v>
      </c>
      <c r="AD130" s="8"/>
      <c r="AE130" s="2">
        <f t="shared" si="151"/>
        <v>7525.697226661753</v>
      </c>
      <c r="AF130" s="2">
        <f t="shared" si="152"/>
        <v>11288.54583999263</v>
      </c>
      <c r="AG130" s="1">
        <f t="shared" si="153"/>
        <v>1559.119588350241</v>
      </c>
      <c r="AH130" s="1">
        <f t="shared" si="154"/>
        <v>2338.6793825253617</v>
      </c>
      <c r="AI130" s="1">
        <f t="shared" si="155"/>
        <v>421.6028524633885</v>
      </c>
      <c r="AJ130" s="1">
        <f t="shared" si="156"/>
        <v>341.3547237076649</v>
      </c>
      <c r="AK130" s="1">
        <f t="shared" si="157"/>
        <v>632.4042786950828</v>
      </c>
      <c r="AL130" s="1">
        <f t="shared" si="158"/>
        <v>512.0320855614973</v>
      </c>
      <c r="AM130" s="1">
        <f t="shared" si="176"/>
        <v>1288.267898836866</v>
      </c>
      <c r="AN130" s="1">
        <f t="shared" si="160"/>
        <v>1932.4018482552988</v>
      </c>
      <c r="AO130" s="1">
        <f t="shared" si="161"/>
        <v>3083.680274129899</v>
      </c>
      <c r="AP130" s="1">
        <f t="shared" si="162"/>
        <v>4625.520411194848</v>
      </c>
      <c r="AQ130" s="1">
        <f t="shared" si="163"/>
        <v>7145.964779938605</v>
      </c>
      <c r="AR130" s="1">
        <f t="shared" si="164"/>
        <v>1932.3464071238639</v>
      </c>
    </row>
    <row r="131" spans="2:44" ht="12.75" outlineLevel="1">
      <c r="B131" s="184" t="s">
        <v>272</v>
      </c>
      <c r="C131" s="3">
        <v>550</v>
      </c>
      <c r="D131" s="3">
        <v>572</v>
      </c>
      <c r="E131" s="3">
        <v>306</v>
      </c>
      <c r="F131" s="3">
        <v>21</v>
      </c>
      <c r="G131" s="3">
        <v>40</v>
      </c>
      <c r="H131" s="3">
        <v>27</v>
      </c>
      <c r="I131" s="3">
        <f t="shared" si="166"/>
        <v>438</v>
      </c>
      <c r="J131" s="3"/>
      <c r="K131" s="3">
        <f t="shared" si="167"/>
        <v>354.37778955533037</v>
      </c>
      <c r="L131" s="3">
        <v>198000</v>
      </c>
      <c r="M131" s="2">
        <f t="shared" si="168"/>
        <v>6923.076923076923</v>
      </c>
      <c r="N131" s="1">
        <f t="shared" si="137"/>
        <v>23.637380577688088</v>
      </c>
      <c r="O131" s="3">
        <v>19160</v>
      </c>
      <c r="P131" s="1">
        <f t="shared" si="138"/>
        <v>1252.2875816993464</v>
      </c>
      <c r="Q131" s="4">
        <f t="shared" si="139"/>
        <v>7.352998966479207</v>
      </c>
      <c r="R131" s="2">
        <f t="shared" si="169"/>
        <v>3966.341778219049</v>
      </c>
      <c r="S131" s="1">
        <f t="shared" si="170"/>
        <v>968.653828561932</v>
      </c>
      <c r="T131" s="8">
        <f t="shared" si="142"/>
        <v>2.279646003293849</v>
      </c>
      <c r="U131" s="8">
        <f t="shared" si="143"/>
        <v>2.7818656480093433</v>
      </c>
      <c r="V131" s="8"/>
      <c r="W131" s="1">
        <f t="shared" si="171"/>
        <v>20.857142857142858</v>
      </c>
      <c r="X131" s="4">
        <f t="shared" si="145"/>
        <v>2.8875</v>
      </c>
      <c r="Y131" s="4">
        <f t="shared" si="172"/>
        <v>111.72</v>
      </c>
      <c r="Z131" s="2">
        <f t="shared" si="173"/>
        <v>406.98</v>
      </c>
      <c r="AA131" s="6">
        <f t="shared" si="148"/>
        <v>0.006658497065197486</v>
      </c>
      <c r="AB131" s="1">
        <f t="shared" si="174"/>
        <v>13515.62998464</v>
      </c>
      <c r="AC131" s="4">
        <f t="shared" si="175"/>
        <v>1553.541985441437</v>
      </c>
      <c r="AD131" s="8"/>
      <c r="AE131" s="2">
        <f t="shared" si="151"/>
        <v>7731.879044843571</v>
      </c>
      <c r="AF131" s="2">
        <f t="shared" si="152"/>
        <v>11597.818567265358</v>
      </c>
      <c r="AG131" s="1">
        <f t="shared" si="153"/>
        <v>1730.7673214046758</v>
      </c>
      <c r="AH131" s="1">
        <f t="shared" si="154"/>
        <v>2596.150982107014</v>
      </c>
      <c r="AI131" s="1">
        <f t="shared" si="155"/>
        <v>422.685307008843</v>
      </c>
      <c r="AJ131" s="1">
        <f t="shared" si="156"/>
        <v>341.53297682709444</v>
      </c>
      <c r="AK131" s="1">
        <f t="shared" si="157"/>
        <v>634.0279605132645</v>
      </c>
      <c r="AL131" s="1">
        <f t="shared" si="158"/>
        <v>512.2994652406417</v>
      </c>
      <c r="AM131" s="1">
        <f t="shared" si="176"/>
        <v>1407.307027066145</v>
      </c>
      <c r="AN131" s="1">
        <f t="shared" si="160"/>
        <v>2110.960540599218</v>
      </c>
      <c r="AO131" s="1">
        <f t="shared" si="161"/>
        <v>3083.680274129899</v>
      </c>
      <c r="AP131" s="1">
        <f t="shared" si="162"/>
        <v>4625.520411194848</v>
      </c>
      <c r="AQ131" s="1">
        <f t="shared" si="163"/>
        <v>7932.683556438098</v>
      </c>
      <c r="AR131" s="1">
        <f t="shared" si="164"/>
        <v>1937.307657123864</v>
      </c>
    </row>
    <row r="132" spans="2:44" ht="12.75" outlineLevel="1">
      <c r="B132" s="184" t="s">
        <v>273</v>
      </c>
      <c r="C132" s="3">
        <v>600</v>
      </c>
      <c r="D132" s="3">
        <v>620</v>
      </c>
      <c r="E132" s="3">
        <v>305</v>
      </c>
      <c r="F132" s="3">
        <v>21</v>
      </c>
      <c r="G132" s="3">
        <v>40</v>
      </c>
      <c r="H132" s="3">
        <v>27</v>
      </c>
      <c r="I132" s="3">
        <f t="shared" si="166"/>
        <v>486</v>
      </c>
      <c r="J132" s="3"/>
      <c r="K132" s="3">
        <f t="shared" si="167"/>
        <v>363.6577895553304</v>
      </c>
      <c r="L132" s="3">
        <v>237400</v>
      </c>
      <c r="M132" s="2">
        <f t="shared" si="168"/>
        <v>7658.064516129032</v>
      </c>
      <c r="N132" s="1">
        <f t="shared" si="137"/>
        <v>25.55017681955614</v>
      </c>
      <c r="O132" s="3">
        <v>18980</v>
      </c>
      <c r="P132" s="1">
        <f t="shared" si="138"/>
        <v>1244.5901639344263</v>
      </c>
      <c r="Q132" s="4">
        <f t="shared" si="139"/>
        <v>7.224397883916299</v>
      </c>
      <c r="R132" s="2">
        <f t="shared" si="169"/>
        <v>4386.043125685445</v>
      </c>
      <c r="S132" s="1">
        <f t="shared" si="170"/>
        <v>965.189828561932</v>
      </c>
      <c r="T132" s="8">
        <f t="shared" si="142"/>
        <v>2.371646003293849</v>
      </c>
      <c r="U132" s="8">
        <f t="shared" si="143"/>
        <v>2.8547136480093434</v>
      </c>
      <c r="V132" s="8"/>
      <c r="W132" s="1">
        <f t="shared" si="171"/>
        <v>23.142857142857142</v>
      </c>
      <c r="X132" s="4">
        <f t="shared" si="145"/>
        <v>2.875</v>
      </c>
      <c r="Y132" s="4">
        <f t="shared" si="172"/>
        <v>121.8</v>
      </c>
      <c r="Z132" s="2">
        <f t="shared" si="173"/>
        <v>442.25</v>
      </c>
      <c r="AA132" s="6">
        <f t="shared" si="148"/>
        <v>0.0061583165617630446</v>
      </c>
      <c r="AB132" s="1">
        <f t="shared" si="174"/>
        <v>15907.585083333333</v>
      </c>
      <c r="AC132" s="4">
        <f t="shared" si="175"/>
        <v>1564.0929187747704</v>
      </c>
      <c r="AD132" s="8"/>
      <c r="AE132" s="2">
        <f t="shared" si="151"/>
        <v>7934.351772116299</v>
      </c>
      <c r="AF132" s="2">
        <f t="shared" si="152"/>
        <v>11901.52765817445</v>
      </c>
      <c r="AG132" s="1">
        <f t="shared" si="153"/>
        <v>1913.9097275718304</v>
      </c>
      <c r="AH132" s="1">
        <f t="shared" si="154"/>
        <v>2870.8645913577457</v>
      </c>
      <c r="AI132" s="1">
        <f t="shared" si="155"/>
        <v>421.17374337247935</v>
      </c>
      <c r="AJ132" s="1">
        <f t="shared" si="156"/>
        <v>339.4336810730253</v>
      </c>
      <c r="AK132" s="1">
        <f t="shared" si="157"/>
        <v>631.760615058719</v>
      </c>
      <c r="AL132" s="1">
        <f t="shared" si="158"/>
        <v>509.1505216095379</v>
      </c>
      <c r="AM132" s="1">
        <f t="shared" si="176"/>
        <v>1534.2820971773763</v>
      </c>
      <c r="AN132" s="1">
        <f t="shared" si="160"/>
        <v>2301.4231457660644</v>
      </c>
      <c r="AO132" s="1">
        <f t="shared" si="161"/>
        <v>3073.602887613135</v>
      </c>
      <c r="AP132" s="1">
        <f t="shared" si="162"/>
        <v>4610.404331419702</v>
      </c>
      <c r="AQ132" s="1">
        <f t="shared" si="163"/>
        <v>8772.08625137089</v>
      </c>
      <c r="AR132" s="1">
        <f t="shared" si="164"/>
        <v>1930.379657123864</v>
      </c>
    </row>
    <row r="133" spans="2:44" ht="12.75" outlineLevel="1">
      <c r="B133" s="184" t="s">
        <v>274</v>
      </c>
      <c r="C133" s="3">
        <v>650</v>
      </c>
      <c r="D133" s="3">
        <v>668</v>
      </c>
      <c r="E133" s="3">
        <v>305</v>
      </c>
      <c r="F133" s="3">
        <v>21</v>
      </c>
      <c r="G133" s="3">
        <v>40</v>
      </c>
      <c r="H133" s="3">
        <v>27</v>
      </c>
      <c r="I133" s="3">
        <f t="shared" si="166"/>
        <v>534</v>
      </c>
      <c r="J133" s="3"/>
      <c r="K133" s="3">
        <f t="shared" si="167"/>
        <v>373.7377895553304</v>
      </c>
      <c r="L133" s="3">
        <v>281700</v>
      </c>
      <c r="M133" s="2">
        <f t="shared" si="168"/>
        <v>8434.131736526946</v>
      </c>
      <c r="N133" s="1">
        <f t="shared" si="137"/>
        <v>27.45427105633258</v>
      </c>
      <c r="O133" s="3">
        <v>18980</v>
      </c>
      <c r="P133" s="1">
        <f t="shared" si="138"/>
        <v>1244.5901639344263</v>
      </c>
      <c r="Q133" s="4">
        <f t="shared" si="139"/>
        <v>7.126308148126423</v>
      </c>
      <c r="R133" s="2">
        <f t="shared" si="169"/>
        <v>4828.4804731518425</v>
      </c>
      <c r="S133" s="1">
        <f t="shared" si="170"/>
        <v>967.835828561932</v>
      </c>
      <c r="T133" s="8">
        <f t="shared" si="142"/>
        <v>2.467646003293849</v>
      </c>
      <c r="U133" s="8">
        <f t="shared" si="143"/>
        <v>2.933841648009343</v>
      </c>
      <c r="V133" s="8"/>
      <c r="W133" s="1">
        <f t="shared" si="171"/>
        <v>25.428571428571427</v>
      </c>
      <c r="X133" s="4">
        <f t="shared" si="145"/>
        <v>2.875</v>
      </c>
      <c r="Y133" s="4">
        <f t="shared" si="172"/>
        <v>131.88</v>
      </c>
      <c r="Z133" s="2">
        <f t="shared" si="173"/>
        <v>478.85</v>
      </c>
      <c r="AA133" s="6">
        <f t="shared" si="148"/>
        <v>0.0057144948219340795</v>
      </c>
      <c r="AB133" s="1">
        <f t="shared" si="174"/>
        <v>18649.515563333334</v>
      </c>
      <c r="AC133" s="4">
        <f t="shared" si="175"/>
        <v>1578.9105187747705</v>
      </c>
      <c r="AD133" s="8"/>
      <c r="AE133" s="2">
        <f t="shared" si="151"/>
        <v>8154.279044843572</v>
      </c>
      <c r="AF133" s="2">
        <f t="shared" si="152"/>
        <v>12231.418567265358</v>
      </c>
      <c r="AG133" s="1">
        <f t="shared" si="153"/>
        <v>2106.9732973753494</v>
      </c>
      <c r="AH133" s="1">
        <f t="shared" si="154"/>
        <v>3160.4599460630243</v>
      </c>
      <c r="AI133" s="1">
        <f t="shared" si="155"/>
        <v>422.3283615542976</v>
      </c>
      <c r="AJ133" s="1">
        <f t="shared" si="156"/>
        <v>339.4336810730253</v>
      </c>
      <c r="AK133" s="1">
        <f t="shared" si="157"/>
        <v>633.4925423314464</v>
      </c>
      <c r="AL133" s="1">
        <f t="shared" si="158"/>
        <v>509.1505216095379</v>
      </c>
      <c r="AM133" s="1">
        <f t="shared" si="176"/>
        <v>1661.2571672886074</v>
      </c>
      <c r="AN133" s="1">
        <f t="shared" si="160"/>
        <v>2491.885750932911</v>
      </c>
      <c r="AO133" s="1">
        <f t="shared" si="161"/>
        <v>3073.602887613135</v>
      </c>
      <c r="AP133" s="1">
        <f t="shared" si="162"/>
        <v>4610.404331419702</v>
      </c>
      <c r="AQ133" s="1">
        <f t="shared" si="163"/>
        <v>9656.960946303685</v>
      </c>
      <c r="AR133" s="1">
        <f t="shared" si="164"/>
        <v>1935.671657123864</v>
      </c>
    </row>
    <row r="134" spans="2:44" ht="12.75" outlineLevel="1">
      <c r="B134" s="184" t="s">
        <v>275</v>
      </c>
      <c r="C134" s="3">
        <v>700</v>
      </c>
      <c r="D134" s="3">
        <v>716</v>
      </c>
      <c r="E134" s="3">
        <v>304</v>
      </c>
      <c r="F134" s="3">
        <v>21</v>
      </c>
      <c r="G134" s="3">
        <v>40</v>
      </c>
      <c r="H134" s="3">
        <v>27</v>
      </c>
      <c r="I134" s="3">
        <f t="shared" si="166"/>
        <v>582</v>
      </c>
      <c r="J134" s="3"/>
      <c r="K134" s="3">
        <f t="shared" si="167"/>
        <v>383.0177895553304</v>
      </c>
      <c r="L134" s="3">
        <v>329300</v>
      </c>
      <c r="M134" s="2">
        <f t="shared" si="168"/>
        <v>9198.324022346369</v>
      </c>
      <c r="N134" s="1">
        <f t="shared" si="137"/>
        <v>29.32151409897743</v>
      </c>
      <c r="O134" s="3">
        <v>18800</v>
      </c>
      <c r="P134" s="1">
        <f t="shared" si="138"/>
        <v>1236.842105263158</v>
      </c>
      <c r="Q134" s="4">
        <f t="shared" si="139"/>
        <v>7.005989011939497</v>
      </c>
      <c r="R134" s="2">
        <f t="shared" si="169"/>
        <v>5269.493820618239</v>
      </c>
      <c r="S134" s="1">
        <f t="shared" si="170"/>
        <v>964.391828561932</v>
      </c>
      <c r="T134" s="8">
        <f t="shared" si="142"/>
        <v>2.559646003293849</v>
      </c>
      <c r="U134" s="8">
        <f t="shared" si="143"/>
        <v>3.0066896480093437</v>
      </c>
      <c r="V134" s="8"/>
      <c r="W134" s="1">
        <f t="shared" si="171"/>
        <v>27.714285714285715</v>
      </c>
      <c r="X134" s="4">
        <f t="shared" si="145"/>
        <v>2.8625</v>
      </c>
      <c r="Y134" s="4">
        <f t="shared" si="172"/>
        <v>141.96</v>
      </c>
      <c r="Z134" s="2">
        <f t="shared" si="173"/>
        <v>513.76</v>
      </c>
      <c r="AA134" s="6">
        <f t="shared" si="148"/>
        <v>0.005352743290899383</v>
      </c>
      <c r="AB134" s="1">
        <f t="shared" si="174"/>
        <v>21397.492968106668</v>
      </c>
      <c r="AC134" s="4">
        <f t="shared" si="175"/>
        <v>1589.4614521081037</v>
      </c>
      <c r="AD134" s="8"/>
      <c r="AE134" s="2">
        <f t="shared" si="151"/>
        <v>8356.751772116299</v>
      </c>
      <c r="AF134" s="2">
        <f t="shared" si="152"/>
        <v>12535.12765817445</v>
      </c>
      <c r="AG134" s="1">
        <f t="shared" si="153"/>
        <v>2299.415485360686</v>
      </c>
      <c r="AH134" s="1">
        <f t="shared" si="154"/>
        <v>3449.123228041029</v>
      </c>
      <c r="AI134" s="1">
        <f t="shared" si="155"/>
        <v>420.8255251906612</v>
      </c>
      <c r="AJ134" s="1">
        <f t="shared" si="156"/>
        <v>337.3205741626794</v>
      </c>
      <c r="AK134" s="1">
        <f t="shared" si="157"/>
        <v>631.2382877859918</v>
      </c>
      <c r="AL134" s="1">
        <f t="shared" si="158"/>
        <v>505.98086124401914</v>
      </c>
      <c r="AM134" s="1">
        <f t="shared" si="176"/>
        <v>1788.2322373998386</v>
      </c>
      <c r="AN134" s="1">
        <f t="shared" si="160"/>
        <v>2682.348356099758</v>
      </c>
      <c r="AO134" s="1">
        <f t="shared" si="161"/>
        <v>3063.52550109637</v>
      </c>
      <c r="AP134" s="1">
        <f t="shared" si="162"/>
        <v>4595.288251644555</v>
      </c>
      <c r="AQ134" s="1">
        <f t="shared" si="163"/>
        <v>10538.987641236477</v>
      </c>
      <c r="AR134" s="1">
        <f t="shared" si="164"/>
        <v>1928.783657123864</v>
      </c>
    </row>
    <row r="135" spans="2:44" ht="12.75" outlineLevel="1">
      <c r="B135" s="184" t="s">
        <v>276</v>
      </c>
      <c r="C135" s="3">
        <v>800</v>
      </c>
      <c r="D135" s="3">
        <v>814</v>
      </c>
      <c r="E135" s="3">
        <v>303</v>
      </c>
      <c r="F135" s="3">
        <v>21</v>
      </c>
      <c r="G135" s="3">
        <v>40</v>
      </c>
      <c r="H135" s="3">
        <v>30</v>
      </c>
      <c r="I135" s="3">
        <f t="shared" si="166"/>
        <v>674</v>
      </c>
      <c r="J135" s="3"/>
      <c r="K135" s="3">
        <f t="shared" si="167"/>
        <v>404.26566611769186</v>
      </c>
      <c r="L135" s="3">
        <v>442600</v>
      </c>
      <c r="M135" s="2">
        <f t="shared" si="168"/>
        <v>10874.692874692873</v>
      </c>
      <c r="N135" s="1">
        <f t="shared" si="137"/>
        <v>33.08813396668356</v>
      </c>
      <c r="O135" s="3">
        <v>18630</v>
      </c>
      <c r="P135" s="1">
        <f t="shared" si="138"/>
        <v>1229.7029702970297</v>
      </c>
      <c r="Q135" s="4">
        <f t="shared" si="139"/>
        <v>6.788487116236975</v>
      </c>
      <c r="R135" s="2">
        <f t="shared" si="169"/>
        <v>6243.851950198582</v>
      </c>
      <c r="S135" s="1">
        <f t="shared" si="170"/>
        <v>965.196190908</v>
      </c>
      <c r="T135" s="8">
        <f t="shared" si="142"/>
        <v>2.7464955592153872</v>
      </c>
      <c r="U135" s="8">
        <f t="shared" si="143"/>
        <v>3.1734854790238813</v>
      </c>
      <c r="V135" s="8"/>
      <c r="W135" s="1">
        <f t="shared" si="171"/>
        <v>32.095238095238095</v>
      </c>
      <c r="X135" s="4">
        <f t="shared" si="145"/>
        <v>2.775</v>
      </c>
      <c r="Y135" s="4">
        <f t="shared" si="172"/>
        <v>162.54</v>
      </c>
      <c r="Z135" s="2">
        <f t="shared" si="173"/>
        <v>586.305</v>
      </c>
      <c r="AA135" s="6">
        <f t="shared" si="148"/>
        <v>0.004780481343480988</v>
      </c>
      <c r="AB135" s="1">
        <f t="shared" si="174"/>
        <v>27775.28708442</v>
      </c>
      <c r="AC135" s="4">
        <f t="shared" si="175"/>
        <v>1645.6447462238123</v>
      </c>
      <c r="AD135" s="8"/>
      <c r="AE135" s="2">
        <f t="shared" si="151"/>
        <v>8820.341806204186</v>
      </c>
      <c r="AF135" s="2">
        <f t="shared" si="152"/>
        <v>13230.512709306278</v>
      </c>
      <c r="AG135" s="1">
        <f t="shared" si="153"/>
        <v>2724.589941904836</v>
      </c>
      <c r="AH135" s="1">
        <f t="shared" si="154"/>
        <v>4086.8849128572538</v>
      </c>
      <c r="AI135" s="1">
        <f t="shared" si="155"/>
        <v>421.1765196689454</v>
      </c>
      <c r="AJ135" s="1">
        <f t="shared" si="156"/>
        <v>335.3735373537353</v>
      </c>
      <c r="AK135" s="1">
        <f t="shared" si="157"/>
        <v>631.7647795034181</v>
      </c>
      <c r="AL135" s="1">
        <f t="shared" si="158"/>
        <v>503.06030603060293</v>
      </c>
      <c r="AM135" s="1">
        <f t="shared" si="176"/>
        <v>2047.473005543602</v>
      </c>
      <c r="AN135" s="1">
        <f t="shared" si="160"/>
        <v>3071.209508315403</v>
      </c>
      <c r="AO135" s="1">
        <f t="shared" si="161"/>
        <v>3053.448114579606</v>
      </c>
      <c r="AP135" s="1">
        <f t="shared" si="162"/>
        <v>4580.17217186941</v>
      </c>
      <c r="AQ135" s="1">
        <f t="shared" si="163"/>
        <v>12487.703900397164</v>
      </c>
      <c r="AR135" s="1">
        <f t="shared" si="164"/>
        <v>1930.392381816</v>
      </c>
    </row>
    <row r="136" spans="2:44" ht="12.75" outlineLevel="1">
      <c r="B136" s="184" t="s">
        <v>277</v>
      </c>
      <c r="C136" s="3">
        <v>900</v>
      </c>
      <c r="D136" s="3">
        <v>910</v>
      </c>
      <c r="E136" s="3">
        <v>302</v>
      </c>
      <c r="F136" s="3">
        <v>21</v>
      </c>
      <c r="G136" s="3">
        <v>40</v>
      </c>
      <c r="H136" s="3">
        <v>30</v>
      </c>
      <c r="I136" s="3">
        <f t="shared" si="166"/>
        <v>770</v>
      </c>
      <c r="J136" s="3"/>
      <c r="K136" s="3">
        <f t="shared" si="167"/>
        <v>423.6256661176919</v>
      </c>
      <c r="L136" s="3">
        <v>570400</v>
      </c>
      <c r="M136" s="2">
        <f t="shared" si="168"/>
        <v>12536.263736263736</v>
      </c>
      <c r="N136" s="1">
        <f t="shared" si="137"/>
        <v>36.69430158592641</v>
      </c>
      <c r="O136" s="3">
        <v>18450</v>
      </c>
      <c r="P136" s="1">
        <f t="shared" si="138"/>
        <v>1221.8543046357615</v>
      </c>
      <c r="Q136" s="4">
        <f t="shared" si="139"/>
        <v>6.59943951568133</v>
      </c>
      <c r="R136" s="2">
        <f t="shared" si="169"/>
        <v>7220.881548881042</v>
      </c>
      <c r="S136" s="1">
        <f t="shared" si="170"/>
        <v>964.438190908</v>
      </c>
      <c r="T136" s="8">
        <f t="shared" si="142"/>
        <v>2.9344955592153874</v>
      </c>
      <c r="U136" s="8">
        <f t="shared" si="143"/>
        <v>3.3254614790238812</v>
      </c>
      <c r="V136" s="8"/>
      <c r="W136" s="1">
        <f t="shared" si="171"/>
        <v>36.666666666666664</v>
      </c>
      <c r="X136" s="4">
        <f t="shared" si="145"/>
        <v>2.7625</v>
      </c>
      <c r="Y136" s="4">
        <f t="shared" si="172"/>
        <v>182.7</v>
      </c>
      <c r="Z136" s="2">
        <f t="shared" si="173"/>
        <v>656.85</v>
      </c>
      <c r="AA136" s="6">
        <f t="shared" si="148"/>
        <v>0.0043069394960926054</v>
      </c>
      <c r="AB136" s="1">
        <f t="shared" si="174"/>
        <v>34746.261492</v>
      </c>
      <c r="AC136" s="4">
        <f t="shared" si="175"/>
        <v>1671.0132795571453</v>
      </c>
      <c r="AD136" s="8"/>
      <c r="AE136" s="2">
        <f t="shared" si="151"/>
        <v>9242.741806204185</v>
      </c>
      <c r="AF136" s="2">
        <f t="shared" si="152"/>
        <v>13864.112709306279</v>
      </c>
      <c r="AG136" s="1">
        <f t="shared" si="153"/>
        <v>3150.9301304208184</v>
      </c>
      <c r="AH136" s="1">
        <f t="shared" si="154"/>
        <v>4726.395195631228</v>
      </c>
      <c r="AI136" s="1">
        <f t="shared" si="155"/>
        <v>420.8457560325818</v>
      </c>
      <c r="AJ136" s="1">
        <f t="shared" si="156"/>
        <v>333.2329921733895</v>
      </c>
      <c r="AK136" s="1">
        <f t="shared" si="157"/>
        <v>631.2686340488726</v>
      </c>
      <c r="AL136" s="1">
        <f t="shared" si="158"/>
        <v>499.8494882600843</v>
      </c>
      <c r="AM136" s="1">
        <f t="shared" si="176"/>
        <v>2301.4231457660644</v>
      </c>
      <c r="AN136" s="1">
        <f t="shared" si="160"/>
        <v>3452.1347186490966</v>
      </c>
      <c r="AO136" s="1">
        <f t="shared" si="161"/>
        <v>3043.370728062842</v>
      </c>
      <c r="AP136" s="1">
        <f t="shared" si="162"/>
        <v>4565.056092094263</v>
      </c>
      <c r="AQ136" s="1">
        <f t="shared" si="163"/>
        <v>14441.763097762085</v>
      </c>
      <c r="AR136" s="1">
        <f t="shared" si="164"/>
        <v>1928.876381816</v>
      </c>
    </row>
    <row r="137" spans="1:44" ht="12.75" outlineLevel="1">
      <c r="A137" s="184" t="s">
        <v>279</v>
      </c>
      <c r="B137" s="184" t="s">
        <v>278</v>
      </c>
      <c r="C137" s="3">
        <v>1000</v>
      </c>
      <c r="D137" s="3">
        <v>1008</v>
      </c>
      <c r="E137" s="3">
        <v>302</v>
      </c>
      <c r="F137" s="3">
        <v>21</v>
      </c>
      <c r="G137" s="3">
        <v>40</v>
      </c>
      <c r="H137" s="3">
        <v>30</v>
      </c>
      <c r="I137" s="3">
        <f t="shared" si="166"/>
        <v>868</v>
      </c>
      <c r="J137" s="3"/>
      <c r="K137" s="3">
        <f t="shared" si="167"/>
        <v>444.20566611769186</v>
      </c>
      <c r="L137" s="3">
        <v>722300</v>
      </c>
      <c r="M137" s="2">
        <f t="shared" si="168"/>
        <v>14331.349206349207</v>
      </c>
      <c r="N137" s="1">
        <f t="shared" si="137"/>
        <v>40.324292884277796</v>
      </c>
      <c r="O137" s="3">
        <v>18460</v>
      </c>
      <c r="P137" s="1">
        <f t="shared" si="138"/>
        <v>1222.5165562913908</v>
      </c>
      <c r="Q137" s="4">
        <f t="shared" si="139"/>
        <v>6.446497244637152</v>
      </c>
      <c r="R137" s="2">
        <f t="shared" si="169"/>
        <v>8283.974930869388</v>
      </c>
      <c r="S137" s="1">
        <f t="shared" si="170"/>
        <v>969.840440908</v>
      </c>
      <c r="T137" s="8">
        <f t="shared" si="142"/>
        <v>3.1304955592153876</v>
      </c>
      <c r="U137" s="8">
        <f t="shared" si="143"/>
        <v>3.487014479023881</v>
      </c>
      <c r="V137" s="8"/>
      <c r="W137" s="1">
        <f t="shared" si="171"/>
        <v>41.333333333333336</v>
      </c>
      <c r="X137" s="4">
        <f t="shared" si="145"/>
        <v>2.7625</v>
      </c>
      <c r="Y137" s="4">
        <f t="shared" si="172"/>
        <v>203.28</v>
      </c>
      <c r="Z137" s="2">
        <f t="shared" si="173"/>
        <v>730.84</v>
      </c>
      <c r="AA137" s="6">
        <f t="shared" si="148"/>
        <v>0.00390578930140642</v>
      </c>
      <c r="AB137" s="1">
        <f t="shared" si="174"/>
        <v>43015.03623765333</v>
      </c>
      <c r="AC137" s="4">
        <f t="shared" si="175"/>
        <v>1701.2658795571454</v>
      </c>
      <c r="AD137" s="8"/>
      <c r="AE137" s="2">
        <f t="shared" si="151"/>
        <v>9691.759988022368</v>
      </c>
      <c r="AF137" s="2">
        <f t="shared" si="152"/>
        <v>14537.639982033552</v>
      </c>
      <c r="AG137" s="1">
        <f t="shared" si="153"/>
        <v>3614.8254243793695</v>
      </c>
      <c r="AH137" s="1">
        <f t="shared" si="154"/>
        <v>5422.238136569054</v>
      </c>
      <c r="AI137" s="1">
        <f t="shared" si="155"/>
        <v>423.2031014871273</v>
      </c>
      <c r="AJ137" s="1">
        <f t="shared" si="156"/>
        <v>333.41360626128835</v>
      </c>
      <c r="AK137" s="1">
        <f t="shared" si="157"/>
        <v>634.804652230691</v>
      </c>
      <c r="AL137" s="1">
        <f t="shared" si="158"/>
        <v>500.1204093919325</v>
      </c>
      <c r="AM137" s="1">
        <f t="shared" si="176"/>
        <v>2560.663913909828</v>
      </c>
      <c r="AN137" s="1">
        <f t="shared" si="160"/>
        <v>3840.995870864742</v>
      </c>
      <c r="AO137" s="1">
        <f t="shared" si="161"/>
        <v>3043.370728062842</v>
      </c>
      <c r="AP137" s="1">
        <f t="shared" si="162"/>
        <v>4565.056092094263</v>
      </c>
      <c r="AQ137" s="1">
        <f t="shared" si="163"/>
        <v>16567.949861738776</v>
      </c>
      <c r="AR137" s="1">
        <f t="shared" si="164"/>
        <v>1939.680881816</v>
      </c>
    </row>
    <row r="138" ht="12.75">
      <c r="C138" s="3"/>
    </row>
    <row r="139" spans="4:5" ht="12.75">
      <c r="D139" s="18"/>
      <c r="E139" s="18"/>
    </row>
    <row r="265" spans="11:23" ht="12.75">
      <c r="K265" s="3">
        <f>((D133-2*G133)*F133+2*E133*G133+((2*H133)^2-H133^2*PI()))/100</f>
        <v>373.7377895553304</v>
      </c>
      <c r="W265" s="1">
        <f>(D133-2*G133-2*H133)/F133</f>
        <v>25.428571428571427</v>
      </c>
    </row>
  </sheetData>
  <sheetProtection/>
  <mergeCells count="3">
    <mergeCell ref="C3:I3"/>
    <mergeCell ref="K3:S3"/>
    <mergeCell ref="M1:N1"/>
  </mergeCells>
  <conditionalFormatting sqref="I114:AR137 B6:AR114 C115:H126 D126:D137 C127:C138 E127:H137 B115:B137">
    <cfRule type="expression" priority="5" dxfId="0" stopIfTrue="1">
      <formula>$B$2&amp;$B$3=$B6</formula>
    </cfRule>
  </conditionalFormatting>
  <dataValidations count="1">
    <dataValidation type="list" allowBlank="1" showInputMessage="1" showErrorMessage="1" sqref="B2">
      <formula1>"IPE,IPEo,IPEv,HEAA,HEA,HEB,HEM"</formula1>
    </dataValidation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bdk_v017.xls</dc:title>
  <dc:subject>BDK Stahlbau</dc:subject>
  <dc:creator>Frederik Müller</dc:creator>
  <cp:keywords/>
  <dc:description/>
  <cp:lastModifiedBy>Frederik Müller</cp:lastModifiedBy>
  <cp:lastPrinted>2009-01-25T19:45:59Z</cp:lastPrinted>
  <dcterms:created xsi:type="dcterms:W3CDTF">2006-05-15T15:20:58Z</dcterms:created>
  <dcterms:modified xsi:type="dcterms:W3CDTF">2009-01-25T20:53:58Z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